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ras\Adene\Grupo GPMC - Documents\04_KPI e_Switch\08. Estatística Tempos Médios\"/>
    </mc:Choice>
  </mc:AlternateContent>
  <xr:revisionPtr revIDLastSave="240" documentId="10_ncr:100000_{CAC4C7F5-DAFF-4B9C-8847-43FD2D43DDA3}" xr6:coauthVersionLast="36" xr6:coauthVersionMax="36" xr10:uidLastSave="{AEAB5187-152C-4F84-A807-1657C9027760}"/>
  <bookViews>
    <workbookView xWindow="0" yWindow="0" windowWidth="19200" windowHeight="6384" activeTab="6" xr2:uid="{00000000-000D-0000-FFFF-FFFF00000000}"/>
  </bookViews>
  <sheets>
    <sheet name="2012" sheetId="1" r:id="rId1"/>
    <sheet name="2013" sheetId="3" r:id="rId2"/>
    <sheet name="2014" sheetId="4" r:id="rId3"/>
    <sheet name="2015" sheetId="5" r:id="rId4"/>
    <sheet name="2016" sheetId="6" r:id="rId5"/>
    <sheet name="2017" sheetId="7" r:id="rId6"/>
    <sheet name="2018" sheetId="8" r:id="rId7"/>
    <sheet name="Ficheiro_Dados_Mês_M" sheetId="10" r:id="rId8"/>
    <sheet name="FICHEIRO_DADOS_M" sheetId="9" r:id="rId9"/>
  </sheets>
  <definedNames>
    <definedName name="_xlnm.Print_Area" localSheetId="4">'2016'!$A$5:$Q$27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" i="10" l="1"/>
  <c r="P5" i="10"/>
  <c r="P4" i="10"/>
  <c r="P3" i="10"/>
  <c r="O2" i="10"/>
  <c r="O3" i="10"/>
  <c r="O4" i="10"/>
  <c r="O5" i="10"/>
  <c r="N4" i="10"/>
  <c r="N5" i="10"/>
  <c r="N3" i="10"/>
  <c r="M3" i="10"/>
  <c r="M4" i="10"/>
  <c r="M5" i="10"/>
  <c r="M2" i="10"/>
  <c r="L3" i="10"/>
  <c r="L4" i="10"/>
  <c r="L5" i="10"/>
  <c r="L2" i="10"/>
  <c r="K3" i="10"/>
  <c r="K4" i="10"/>
  <c r="K5" i="10"/>
  <c r="K2" i="10"/>
  <c r="J3" i="10"/>
  <c r="J4" i="10"/>
  <c r="J5" i="10"/>
  <c r="J2" i="10"/>
  <c r="I3" i="10"/>
  <c r="I4" i="10"/>
  <c r="I5" i="10"/>
  <c r="I2" i="10"/>
  <c r="H3" i="10"/>
  <c r="H4" i="10"/>
  <c r="H5" i="10"/>
  <c r="H2" i="10"/>
  <c r="G3" i="10"/>
  <c r="G4" i="10"/>
  <c r="G5" i="10"/>
  <c r="G2" i="10"/>
  <c r="D3" i="10"/>
  <c r="D4" i="10"/>
  <c r="D5" i="10"/>
  <c r="D2" i="10"/>
  <c r="C3" i="10"/>
  <c r="C4" i="10"/>
  <c r="C5" i="10"/>
  <c r="C2" i="10"/>
  <c r="B2" i="10" l="1"/>
  <c r="B3" i="10"/>
  <c r="B4" i="10"/>
  <c r="B5" i="10"/>
  <c r="O76" i="8"/>
  <c r="O75" i="8"/>
  <c r="O74" i="8"/>
  <c r="L76" i="8"/>
  <c r="L75" i="8"/>
  <c r="L74" i="8"/>
  <c r="L73" i="8"/>
  <c r="K76" i="8"/>
  <c r="K75" i="8"/>
  <c r="K74" i="8"/>
  <c r="K73" i="8"/>
  <c r="I76" i="8"/>
  <c r="I75" i="8"/>
  <c r="I74" i="8"/>
  <c r="I73" i="8"/>
  <c r="E76" i="8"/>
  <c r="E75" i="8"/>
  <c r="E74" i="8"/>
  <c r="E73" i="8"/>
  <c r="O69" i="8" l="1"/>
  <c r="O68" i="8"/>
  <c r="O67" i="8"/>
  <c r="L69" i="8"/>
  <c r="L68" i="8"/>
  <c r="L67" i="8"/>
  <c r="L66" i="8"/>
  <c r="K69" i="8"/>
  <c r="K68" i="8"/>
  <c r="K67" i="8"/>
  <c r="K66" i="8"/>
  <c r="I69" i="8"/>
  <c r="I68" i="8"/>
  <c r="I67" i="8"/>
  <c r="I66" i="8"/>
  <c r="E69" i="8"/>
  <c r="E68" i="8"/>
  <c r="E67" i="8"/>
  <c r="E66" i="8"/>
  <c r="O62" i="8"/>
  <c r="O61" i="8"/>
  <c r="O60" i="8"/>
  <c r="L62" i="8"/>
  <c r="L61" i="8"/>
  <c r="L60" i="8"/>
  <c r="L59" i="8"/>
  <c r="K62" i="8"/>
  <c r="K61" i="8"/>
  <c r="K60" i="8"/>
  <c r="K59" i="8"/>
  <c r="I62" i="8"/>
  <c r="I60" i="8"/>
  <c r="I59" i="8"/>
  <c r="E62" i="8"/>
  <c r="E61" i="8"/>
  <c r="E60" i="8"/>
  <c r="E59" i="8"/>
  <c r="O55" i="8"/>
  <c r="O54" i="8"/>
  <c r="O53" i="8"/>
  <c r="L55" i="8"/>
  <c r="L54" i="8"/>
  <c r="L53" i="8"/>
  <c r="L52" i="8"/>
  <c r="K55" i="8"/>
  <c r="K54" i="8"/>
  <c r="K53" i="8"/>
  <c r="K52" i="8"/>
  <c r="I55" i="8"/>
  <c r="I53" i="8"/>
  <c r="I52" i="8"/>
  <c r="E55" i="8"/>
  <c r="E54" i="8"/>
  <c r="E53" i="8"/>
  <c r="E52" i="8"/>
  <c r="I13" i="8" l="1"/>
  <c r="I11" i="8"/>
  <c r="I10" i="8"/>
  <c r="K90" i="7" l="1"/>
  <c r="I90" i="7"/>
  <c r="E90" i="7"/>
  <c r="K89" i="7"/>
  <c r="E89" i="7"/>
  <c r="K88" i="7"/>
  <c r="I88" i="7"/>
  <c r="E88" i="7"/>
  <c r="K87" i="7"/>
  <c r="I87" i="7"/>
  <c r="E87" i="7"/>
  <c r="K83" i="7"/>
  <c r="I83" i="7"/>
  <c r="E83" i="7"/>
  <c r="K82" i="7"/>
  <c r="E82" i="7"/>
  <c r="K81" i="7"/>
  <c r="I81" i="7"/>
  <c r="E81" i="7"/>
  <c r="K80" i="7"/>
  <c r="I80" i="7"/>
  <c r="E80" i="7"/>
  <c r="K76" i="7"/>
  <c r="I76" i="7"/>
  <c r="E76" i="7"/>
  <c r="K75" i="7"/>
  <c r="E75" i="7"/>
  <c r="K74" i="7"/>
  <c r="I74" i="7"/>
  <c r="E74" i="7"/>
  <c r="K73" i="7"/>
  <c r="I73" i="7"/>
  <c r="E73" i="7"/>
  <c r="K69" i="7" l="1"/>
  <c r="I69" i="7"/>
  <c r="E69" i="7"/>
  <c r="E68" i="7"/>
  <c r="K67" i="7"/>
  <c r="I67" i="7"/>
  <c r="E67" i="7"/>
  <c r="K66" i="7"/>
  <c r="I66" i="7"/>
  <c r="E66" i="7"/>
  <c r="K62" i="7"/>
  <c r="I62" i="7"/>
  <c r="E62" i="7"/>
  <c r="K61" i="7"/>
  <c r="E61" i="7"/>
  <c r="K60" i="7"/>
  <c r="I60" i="7"/>
  <c r="E60" i="7"/>
  <c r="K59" i="7"/>
  <c r="I59" i="7"/>
  <c r="E59" i="7"/>
  <c r="K55" i="7"/>
  <c r="I55" i="7"/>
  <c r="E55" i="7"/>
  <c r="K54" i="7"/>
  <c r="E54" i="7"/>
  <c r="K53" i="7"/>
  <c r="I53" i="7"/>
  <c r="E53" i="7"/>
  <c r="K52" i="7"/>
  <c r="I52" i="7"/>
  <c r="E52" i="7"/>
  <c r="K48" i="7" l="1"/>
  <c r="I48" i="7"/>
  <c r="E48" i="7"/>
  <c r="K47" i="7"/>
  <c r="E47" i="7"/>
  <c r="K46" i="7"/>
  <c r="I46" i="7"/>
  <c r="E46" i="7"/>
  <c r="K45" i="7"/>
  <c r="I45" i="7"/>
  <c r="E45" i="7"/>
  <c r="K41" i="7"/>
  <c r="I41" i="7"/>
  <c r="E41" i="7"/>
  <c r="K40" i="7"/>
  <c r="E40" i="7"/>
  <c r="K39" i="7"/>
  <c r="I39" i="7"/>
  <c r="E39" i="7"/>
  <c r="K38" i="7"/>
  <c r="I38" i="7"/>
  <c r="E38" i="7"/>
  <c r="K34" i="7"/>
  <c r="I34" i="7"/>
  <c r="E34" i="7"/>
  <c r="K33" i="7"/>
  <c r="K32" i="7"/>
  <c r="I32" i="7"/>
  <c r="E32" i="7"/>
  <c r="K31" i="7"/>
  <c r="I31" i="7"/>
  <c r="E31" i="7"/>
  <c r="K10" i="7" l="1"/>
  <c r="I10" i="7"/>
  <c r="K27" i="7" l="1"/>
  <c r="I27" i="7"/>
  <c r="E27" i="7"/>
  <c r="E26" i="7"/>
  <c r="K25" i="7"/>
  <c r="I25" i="7"/>
  <c r="E25" i="7"/>
  <c r="K24" i="7"/>
  <c r="I24" i="7"/>
  <c r="E24" i="7"/>
  <c r="K20" i="7"/>
  <c r="I20" i="7"/>
  <c r="E20" i="7"/>
  <c r="K19" i="7"/>
  <c r="E19" i="7"/>
  <c r="K18" i="7"/>
  <c r="J18" i="7"/>
  <c r="I18" i="7"/>
  <c r="E18" i="7"/>
  <c r="K17" i="7"/>
  <c r="I17" i="7"/>
  <c r="E17" i="7"/>
  <c r="K13" i="7"/>
  <c r="I13" i="7"/>
  <c r="E13" i="7"/>
  <c r="K12" i="7"/>
  <c r="E12" i="7"/>
  <c r="K11" i="7"/>
  <c r="I11" i="7"/>
  <c r="E11" i="7"/>
</calcChain>
</file>

<file path=xl/sharedStrings.xml><?xml version="1.0" encoding="utf-8"?>
<sst xmlns="http://schemas.openxmlformats.org/spreadsheetml/2006/main" count="2329" uniqueCount="85">
  <si>
    <t>Fluxo</t>
  </si>
  <si>
    <t>Pedidos Intr.</t>
  </si>
  <si>
    <t>Tempo Médio Aceitação com Prev. Mud.</t>
  </si>
  <si>
    <t>Tempo Médio Aceitação com ILC</t>
  </si>
  <si>
    <t>Tempo Médio Aceitação sem ILC</t>
  </si>
  <si>
    <t>Tempo Médio Resposta ORPE</t>
  </si>
  <si>
    <t>Passos Executados ORPE</t>
  </si>
  <si>
    <t>Passos Expirados ORPE</t>
  </si>
  <si>
    <t>Tempo Médio Resposta COM Contr.</t>
  </si>
  <si>
    <t>Passos Executados COM Contr.</t>
  </si>
  <si>
    <t>Passos Expirados COM Contr.</t>
  </si>
  <si>
    <t xml:space="preserve"> </t>
  </si>
  <si>
    <t>B1 - Entrada directa no ML</t>
  </si>
  <si>
    <t>B2 - Mudança COM (ML-&gt;ML)</t>
  </si>
  <si>
    <t>B2 - Mudança COM (ML-&gt;MR)</t>
  </si>
  <si>
    <t>B2 - Mudança COM (MR-&gt;ML)</t>
  </si>
  <si>
    <t>Pedidos Aceites (Concluídos)</t>
  </si>
  <si>
    <t>Tempo Médio Aceitação (Concluídos)</t>
  </si>
  <si>
    <t>Pedidos Aceites com Prev. Mud. (Pedidos que já foram activados)</t>
  </si>
  <si>
    <t>Pedidos Aceites com ILC (Pedidos que já foram activados)</t>
  </si>
  <si>
    <t>Pedidos Aceites sem ILC (Pedidos que já foram activados)</t>
  </si>
  <si>
    <t>N/A</t>
  </si>
  <si>
    <t>Nota: tempos Médios estão em DIAS</t>
  </si>
  <si>
    <t>-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</si>
  <si>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</si>
  <si>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</si>
  <si>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</si>
  <si>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</si>
  <si>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</si>
  <si>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</si>
  <si>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</si>
  <si>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</si>
  <si>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</si>
  <si>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</si>
  <si>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</si>
  <si>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</si>
  <si>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  </t>
  </si>
  <si>
    <t>OUTIBRO</t>
  </si>
  <si>
    <t>Nota: tempos Médios estão em DIAS úteis</t>
  </si>
  <si>
    <t>NA</t>
  </si>
  <si>
    <t>Emissor</t>
  </si>
  <si>
    <t>ORPE</t>
  </si>
  <si>
    <t>Com. Contr.</t>
  </si>
  <si>
    <t>Pedidos Aceites</t>
  </si>
  <si>
    <t>Tempo Médio Aceitação</t>
  </si>
  <si>
    <t>Num. Médio Passos Pedidos Aceites</t>
  </si>
  <si>
    <t>Pedidos Aceites com Prev. Mud.</t>
  </si>
  <si>
    <t>Pedidos Aceites com ILC</t>
  </si>
  <si>
    <t>Pedidos Aceites sem ILC</t>
  </si>
  <si>
    <t>Pedidos Recusados</t>
  </si>
  <si>
    <t>Tempo Médio de Recusa</t>
  </si>
  <si>
    <t>Num. Médio Passos Pedidos Recusados</t>
  </si>
  <si>
    <t>Tempo Médio Resposta EMISSOR</t>
  </si>
  <si>
    <t>Passos Executados EMISSOR</t>
  </si>
  <si>
    <t>Passos Expirados EMISSOR</t>
  </si>
  <si>
    <t>Tempo Médio Resposta GPMC</t>
  </si>
  <si>
    <t>Passos Executados GPMC</t>
  </si>
  <si>
    <t>Passos Expirados GPMC</t>
  </si>
  <si>
    <t>Todos</t>
  </si>
  <si>
    <t>B1 - Contratação Inicial</t>
  </si>
  <si>
    <t>11 371</t>
  </si>
  <si>
    <t xml:space="preserve"> 6 485</t>
  </si>
  <si>
    <t>5 955</t>
  </si>
  <si>
    <t xml:space="preserve"> 4 616</t>
  </si>
  <si>
    <t xml:space="preserve"> 11 371</t>
  </si>
  <si>
    <t xml:space="preserve"> 45 556</t>
  </si>
  <si>
    <t xml:space="preserve"> 1 662</t>
  </si>
  <si>
    <t xml:space="preserve"> 36 596</t>
  </si>
  <si>
    <t xml:space="preserve"> 1 664</t>
  </si>
  <si>
    <t>10 797</t>
  </si>
  <si>
    <t xml:space="preserve"> 8 424</t>
  </si>
  <si>
    <t xml:space="preserve"> 8 306</t>
  </si>
  <si>
    <t xml:space="preserve"> 2 317</t>
  </si>
  <si>
    <t xml:space="preserve"> 10 797</t>
  </si>
  <si>
    <t xml:space="preserve"> 40 459</t>
  </si>
  <si>
    <t xml:space="preserve"> 29 890</t>
  </si>
  <si>
    <t xml:space="preserve"> 9 486</t>
  </si>
  <si>
    <t>2 628</t>
  </si>
  <si>
    <t xml:space="preserve"> 1 301</t>
  </si>
  <si>
    <t xml:space="preserve"> 1 121</t>
  </si>
  <si>
    <t xml:space="preserve"> 1 227</t>
  </si>
  <si>
    <t xml:space="preserve"> 2 628</t>
  </si>
  <si>
    <t xml:space="preserve"> 9 861</t>
  </si>
  <si>
    <t xml:space="preserve"> 7 263</t>
  </si>
  <si>
    <t xml:space="preserve"> 2 013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</si>
</sst>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0" xfId="0" applyFont="1"/>
    <xf numFmtId="0" fontId="0" fillId="0" borderId="12" xfId="0" applyBorder="1"/>
    <xf numFmtId="0" fontId="0" fillId="0" borderId="13" xfId="0" applyBorder="1"/>
    <xf numFmtId="1" fontId="0" fillId="0" borderId="14" xfId="0" applyNumberFormat="1" applyBorder="1"/>
    <xf numFmtId="0" fontId="0" fillId="0" borderId="15" xfId="0" applyBorder="1"/>
    <xf numFmtId="0" fontId="0" fillId="0" borderId="0" xfId="0" applyBorder="1"/>
    <xf numFmtId="1" fontId="0" fillId="0" borderId="16" xfId="0" applyNumberFormat="1" applyBorder="1"/>
    <xf numFmtId="0" fontId="14" fillId="0" borderId="12" xfId="0" applyFont="1" applyBorder="1" applyAlignment="1">
      <alignment horizontal="right"/>
    </xf>
    <xf numFmtId="1" fontId="14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12" xfId="0" applyNumberFormat="1" applyBorder="1"/>
    <xf numFmtId="0" fontId="0" fillId="0" borderId="14" xfId="0" applyBorder="1"/>
    <xf numFmtId="1" fontId="0" fillId="0" borderId="15" xfId="0" applyNumberFormat="1" applyBorder="1"/>
    <xf numFmtId="0" fontId="0" fillId="0" borderId="16" xfId="0" applyBorder="1"/>
    <xf numFmtId="1" fontId="14" fillId="0" borderId="12" xfId="0" applyNumberFormat="1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0" fillId="0" borderId="11" xfId="0" applyBorder="1"/>
    <xf numFmtId="0" fontId="0" fillId="0" borderId="17" xfId="0" applyBorder="1"/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8" xfId="0" applyBorder="1"/>
    <xf numFmtId="3" fontId="0" fillId="0" borderId="19" xfId="0" applyNumberFormat="1" applyBorder="1"/>
    <xf numFmtId="3" fontId="0" fillId="0" borderId="20" xfId="0" applyNumberFormat="1" applyBorder="1"/>
    <xf numFmtId="1" fontId="0" fillId="0" borderId="21" xfId="0" applyNumberFormat="1" applyBorder="1"/>
    <xf numFmtId="1" fontId="0" fillId="0" borderId="19" xfId="0" applyNumberFormat="1" applyBorder="1"/>
    <xf numFmtId="3" fontId="0" fillId="0" borderId="21" xfId="0" applyNumberFormat="1" applyBorder="1"/>
    <xf numFmtId="0" fontId="0" fillId="0" borderId="21" xfId="0" applyBorder="1"/>
    <xf numFmtId="0" fontId="0" fillId="0" borderId="12" xfId="0" applyBorder="1" applyAlignment="1">
      <alignment horizontal="right"/>
    </xf>
    <xf numFmtId="1" fontId="0" fillId="0" borderId="14" xfId="0" applyNumberFormat="1" applyBorder="1" applyAlignment="1">
      <alignment horizontal="right"/>
    </xf>
    <xf numFmtId="0" fontId="16" fillId="0" borderId="0" xfId="0" applyFont="1"/>
    <xf numFmtId="0" fontId="19" fillId="0" borderId="0" xfId="0" applyFont="1"/>
    <xf numFmtId="0" fontId="0" fillId="0" borderId="0" xfId="0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Fill="1" applyBorder="1"/>
    <xf numFmtId="1" fontId="0" fillId="0" borderId="14" xfId="0" applyNumberFormat="1" applyFill="1" applyBorder="1"/>
    <xf numFmtId="0" fontId="14" fillId="0" borderId="12" xfId="0" applyFont="1" applyFill="1" applyBorder="1" applyAlignment="1">
      <alignment horizontal="right"/>
    </xf>
    <xf numFmtId="1" fontId="14" fillId="0" borderId="14" xfId="0" applyNumberFormat="1" applyFont="1" applyFill="1" applyBorder="1" applyAlignment="1">
      <alignment horizontal="right"/>
    </xf>
    <xf numFmtId="0" fontId="0" fillId="0" borderId="12" xfId="0" applyFill="1" applyBorder="1"/>
    <xf numFmtId="0" fontId="0" fillId="0" borderId="0" xfId="0" applyFill="1" applyBorder="1"/>
    <xf numFmtId="1" fontId="0" fillId="0" borderId="16" xfId="0" applyNumberFormat="1" applyFill="1" applyBorder="1"/>
    <xf numFmtId="0" fontId="0" fillId="0" borderId="15" xfId="0" applyFill="1" applyBorder="1"/>
    <xf numFmtId="0" fontId="0" fillId="0" borderId="0" xfId="0" applyFill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3" fontId="0" fillId="0" borderId="20" xfId="0" applyNumberFormat="1" applyFill="1" applyBorder="1"/>
    <xf numFmtId="1" fontId="0" fillId="0" borderId="21" xfId="0" applyNumberFormat="1" applyFill="1" applyBorder="1"/>
    <xf numFmtId="3" fontId="0" fillId="0" borderId="19" xfId="0" applyNumberFormat="1" applyFill="1" applyBorder="1"/>
    <xf numFmtId="3" fontId="0" fillId="0" borderId="12" xfId="0" applyNumberFormat="1" applyBorder="1"/>
    <xf numFmtId="3" fontId="0" fillId="0" borderId="13" xfId="0" applyNumberFormat="1" applyBorder="1"/>
    <xf numFmtId="3" fontId="14" fillId="0" borderId="12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3" fontId="0" fillId="0" borderId="14" xfId="0" applyNumberFormat="1" applyBorder="1"/>
    <xf numFmtId="3" fontId="14" fillId="0" borderId="13" xfId="0" applyNumberFormat="1" applyFont="1" applyBorder="1" applyAlignment="1">
      <alignment horizontal="right"/>
    </xf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3" fontId="0" fillId="0" borderId="13" xfId="0" applyNumberFormat="1" applyFill="1" applyBorder="1"/>
    <xf numFmtId="3" fontId="0" fillId="0" borderId="14" xfId="0" applyNumberFormat="1" applyFill="1" applyBorder="1"/>
    <xf numFmtId="3" fontId="14" fillId="0" borderId="12" xfId="0" applyNumberFormat="1" applyFont="1" applyFill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3" fontId="0" fillId="0" borderId="12" xfId="0" applyNumberFormat="1" applyFill="1" applyBorder="1"/>
    <xf numFmtId="3" fontId="0" fillId="0" borderId="0" xfId="0" applyNumberFormat="1" applyFill="1" applyBorder="1"/>
    <xf numFmtId="3" fontId="0" fillId="0" borderId="16" xfId="0" applyNumberFormat="1" applyFill="1" applyBorder="1"/>
    <xf numFmtId="3" fontId="0" fillId="0" borderId="15" xfId="0" applyNumberFormat="1" applyFill="1" applyBorder="1"/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3" fontId="0" fillId="0" borderId="21" xfId="0" applyNumberFormat="1" applyFill="1" applyBorder="1"/>
    <xf numFmtId="3" fontId="20" fillId="0" borderId="14" xfId="0" applyNumberFormat="1" applyFont="1" applyFill="1" applyBorder="1"/>
    <xf numFmtId="0" fontId="16" fillId="0" borderId="0" xfId="0" applyFont="1" applyFill="1"/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/>
    <xf numFmtId="0" fontId="0" fillId="0" borderId="17" xfId="0" applyFill="1" applyBorder="1"/>
    <xf numFmtId="0" fontId="0" fillId="0" borderId="18" xfId="0" applyFill="1" applyBorder="1"/>
    <xf numFmtId="3" fontId="14" fillId="0" borderId="13" xfId="0" applyNumberFormat="1" applyFont="1" applyFill="1" applyBorder="1" applyAlignment="1">
      <alignment horizontal="right"/>
    </xf>
    <xf numFmtId="0" fontId="0" fillId="0" borderId="0" xfId="0" applyFill="1"/>
    <xf numFmtId="165" fontId="0" fillId="0" borderId="12" xfId="42" applyNumberFormat="1" applyFont="1" applyBorder="1"/>
    <xf numFmtId="165" fontId="0" fillId="0" borderId="15" xfId="42" applyNumberFormat="1" applyFont="1" applyBorder="1"/>
    <xf numFmtId="165" fontId="0" fillId="0" borderId="19" xfId="42" applyNumberFormat="1" applyFont="1" applyBorder="1"/>
    <xf numFmtId="165" fontId="0" fillId="0" borderId="13" xfId="42" applyNumberFormat="1" applyFont="1" applyFill="1" applyBorder="1"/>
    <xf numFmtId="165" fontId="0" fillId="0" borderId="14" xfId="42" applyNumberFormat="1" applyFont="1" applyFill="1" applyBorder="1"/>
    <xf numFmtId="165" fontId="14" fillId="0" borderId="12" xfId="42" applyNumberFormat="1" applyFont="1" applyBorder="1" applyAlignment="1">
      <alignment horizontal="right"/>
    </xf>
    <xf numFmtId="165" fontId="0" fillId="0" borderId="12" xfId="42" applyNumberFormat="1" applyFont="1" applyFill="1" applyBorder="1"/>
    <xf numFmtId="165" fontId="0" fillId="0" borderId="13" xfId="42" applyNumberFormat="1" applyFont="1" applyBorder="1"/>
    <xf numFmtId="165" fontId="0" fillId="0" borderId="14" xfId="42" applyNumberFormat="1" applyFont="1" applyBorder="1"/>
    <xf numFmtId="165" fontId="0" fillId="0" borderId="0" xfId="42" applyNumberFormat="1" applyFont="1" applyFill="1" applyBorder="1"/>
    <xf numFmtId="165" fontId="0" fillId="0" borderId="16" xfId="42" applyNumberFormat="1" applyFont="1" applyFill="1" applyBorder="1"/>
    <xf numFmtId="165" fontId="0" fillId="0" borderId="15" xfId="42" applyNumberFormat="1" applyFont="1" applyFill="1" applyBorder="1"/>
    <xf numFmtId="165" fontId="0" fillId="0" borderId="0" xfId="42" applyNumberFormat="1" applyFont="1" applyBorder="1"/>
    <xf numFmtId="165" fontId="0" fillId="0" borderId="16" xfId="42" applyNumberFormat="1" applyFont="1" applyBorder="1"/>
    <xf numFmtId="165" fontId="0" fillId="0" borderId="15" xfId="42" applyNumberFormat="1" applyFont="1" applyFill="1" applyBorder="1" applyAlignment="1">
      <alignment horizontal="right"/>
    </xf>
    <xf numFmtId="165" fontId="0" fillId="0" borderId="16" xfId="42" applyNumberFormat="1" applyFont="1" applyFill="1" applyBorder="1" applyAlignment="1">
      <alignment horizontal="right"/>
    </xf>
    <xf numFmtId="165" fontId="0" fillId="0" borderId="20" xfId="42" applyNumberFormat="1" applyFont="1" applyFill="1" applyBorder="1"/>
    <xf numFmtId="165" fontId="0" fillId="0" borderId="21" xfId="42" applyNumberFormat="1" applyFont="1" applyFill="1" applyBorder="1"/>
    <xf numFmtId="165" fontId="0" fillId="0" borderId="19" xfId="42" applyNumberFormat="1" applyFont="1" applyFill="1" applyBorder="1"/>
    <xf numFmtId="165" fontId="0" fillId="0" borderId="20" xfId="42" applyNumberFormat="1" applyFont="1" applyBorder="1"/>
    <xf numFmtId="165" fontId="0" fillId="0" borderId="21" xfId="42" applyNumberFormat="1" applyFont="1" applyBorder="1"/>
    <xf numFmtId="3" fontId="0" fillId="0" borderId="0" xfId="0" applyNumberFormat="1"/>
    <xf numFmtId="0" fontId="0" fillId="39" borderId="0" xfId="0" applyFill="1"/>
    <xf numFmtId="3" fontId="14" fillId="0" borderId="12" xfId="42" applyNumberFormat="1" applyFont="1" applyBorder="1" applyAlignment="1">
      <alignment horizontal="right"/>
    </xf>
    <xf numFmtId="3" fontId="0" fillId="0" borderId="15" xfId="42" applyNumberFormat="1" applyFont="1" applyFill="1" applyBorder="1"/>
    <xf numFmtId="3" fontId="0" fillId="0" borderId="16" xfId="42" applyNumberFormat="1" applyFont="1" applyFill="1" applyBorder="1"/>
    <xf numFmtId="3" fontId="0" fillId="0" borderId="0" xfId="43" applyNumberFormat="1" applyFont="1"/>
    <xf numFmtId="3" fontId="0" fillId="0" borderId="19" xfId="42" applyNumberFormat="1" applyFont="1" applyFill="1" applyBorder="1"/>
    <xf numFmtId="3" fontId="0" fillId="0" borderId="21" xfId="42" applyNumberFormat="1" applyFont="1" applyFill="1" applyBorder="1"/>
    <xf numFmtId="3" fontId="0" fillId="0" borderId="13" xfId="42" applyNumberFormat="1" applyFont="1" applyFill="1" applyBorder="1"/>
    <xf numFmtId="3" fontId="0" fillId="0" borderId="0" xfId="42" applyNumberFormat="1" applyFont="1" applyFill="1" applyBorder="1"/>
    <xf numFmtId="3" fontId="0" fillId="0" borderId="20" xfId="42" applyNumberFormat="1" applyFont="1" applyFill="1" applyBorder="1"/>
  </cellXfs>
  <cellStyles count="44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to" xfId="6" builtinId="26" customBuiltin="1"/>
    <cellStyle name="Entrada" xfId="9" builtinId="20" customBuiltin="1"/>
    <cellStyle name="Incorreto" xfId="7" builtinId="27" customBuiltin="1"/>
    <cellStyle name="Moeda" xfId="43" builtinId="4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  <cellStyle name="Vírgula" xfId="42" builtinId="3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428689</xdr:colOff>
      <xdr:row>4</xdr:row>
      <xdr:rowOff>46265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41FFB83-A46B-4B47-B44A-720C74F5C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84150"/>
          <a:ext cx="3724339" cy="59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428689</xdr:colOff>
      <xdr:row>4</xdr:row>
      <xdr:rowOff>46265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AAA10F-13BE-43CD-9524-C24716C9C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84150"/>
          <a:ext cx="3724339" cy="598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428689</xdr:colOff>
      <xdr:row>4</xdr:row>
      <xdr:rowOff>46265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304884-0AED-4BC6-A8C7-10D020540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84150"/>
          <a:ext cx="3724339" cy="598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428689</xdr:colOff>
      <xdr:row>4</xdr:row>
      <xdr:rowOff>46265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1556FC-BA82-47BE-8C59-C7AC8CE8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84150"/>
          <a:ext cx="3724339" cy="598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428689</xdr:colOff>
      <xdr:row>4</xdr:row>
      <xdr:rowOff>46265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F647AAD-D7F0-4584-8B1A-C3EBF78B4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84150"/>
          <a:ext cx="3724339" cy="598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428689</xdr:colOff>
      <xdr:row>4</xdr:row>
      <xdr:rowOff>46265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347876-20FC-4F6D-9C38-CFC28FFC5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84150"/>
          <a:ext cx="3724339" cy="598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36285</xdr:colOff>
      <xdr:row>1</xdr:row>
      <xdr:rowOff>9069</xdr:rowOff>
    </xdr:from>
    <xdr:to>
      <xdr:col>4</xdr:col>
      <xdr:colOff>268124</xdr:colOff>
      <xdr:row>4</xdr:row>
      <xdr:rowOff>63499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132CAF2-6CEC-4CA1-B509-AF1D79404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4" y="190498"/>
          <a:ext cx="3724339" cy="598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90"/>
  <sheetViews>
    <sheetView showGridLines="0" workbookViewId="0">
      <selection activeCell="B2" sqref="B2"/>
    </sheetView>
  </sheetViews>
  <sheetFormatPr defaultRowHeight="14.4" x14ac:dyDescent="0.3"/>
  <cols>
    <col min="1" max="1" width="2.5546875" customWidth="1"/>
    <col min="2" max="2" width="27" bestFit="1" customWidth="1"/>
    <col min="3" max="3" width="8.21875" bestFit="1" customWidth="1"/>
    <col min="4" max="4" width="12" bestFit="1" customWidth="1"/>
    <col min="5" max="5" width="13.44140625" bestFit="1" customWidth="1"/>
    <col min="6" max="6" width="22" bestFit="1" customWidth="1"/>
    <col min="7" max="7" width="13.77734375" bestFit="1" customWidth="1"/>
    <col min="8" max="8" width="19.5546875" bestFit="1" customWidth="1"/>
    <col min="9" max="9" width="13.77734375" bestFit="1" customWidth="1"/>
    <col min="10" max="10" width="19.5546875" bestFit="1" customWidth="1"/>
    <col min="11" max="12" width="13.44140625" bestFit="1" customWidth="1"/>
    <col min="13" max="13" width="11" bestFit="1" customWidth="1"/>
    <col min="14" max="14" width="9.5546875" bestFit="1" customWidth="1"/>
    <col min="15" max="15" width="13.77734375" bestFit="1" customWidth="1"/>
    <col min="16" max="17" width="11.21875" bestFit="1" customWidth="1"/>
    <col min="18" max="18" width="1.44140625" bestFit="1" customWidth="1"/>
  </cols>
  <sheetData>
    <row r="6" spans="2:18" x14ac:dyDescent="0.3">
      <c r="B6" s="39" t="s">
        <v>22</v>
      </c>
    </row>
    <row r="7" spans="2:18" x14ac:dyDescent="0.3">
      <c r="B7" s="3"/>
    </row>
    <row r="8" spans="2:18" x14ac:dyDescent="0.3">
      <c r="B8" s="38" t="s">
        <v>24</v>
      </c>
    </row>
    <row r="9" spans="2:18" s="1" customFormat="1" ht="43.2" x14ac:dyDescent="0.3">
      <c r="B9" s="2" t="s">
        <v>0</v>
      </c>
      <c r="C9" s="23" t="s">
        <v>1</v>
      </c>
      <c r="D9" s="23" t="s">
        <v>16</v>
      </c>
      <c r="E9" s="23" t="s">
        <v>17</v>
      </c>
      <c r="F9" s="24" t="s">
        <v>18</v>
      </c>
      <c r="G9" s="24" t="s">
        <v>2</v>
      </c>
      <c r="H9" s="26" t="s">
        <v>19</v>
      </c>
      <c r="I9" s="26" t="s">
        <v>3</v>
      </c>
      <c r="J9" s="27" t="s">
        <v>20</v>
      </c>
      <c r="K9" s="27" t="s">
        <v>4</v>
      </c>
      <c r="L9" s="25" t="s">
        <v>5</v>
      </c>
      <c r="M9" s="25" t="s">
        <v>6</v>
      </c>
      <c r="N9" s="25" t="s">
        <v>7</v>
      </c>
      <c r="O9" s="28" t="s">
        <v>8</v>
      </c>
      <c r="P9" s="28" t="s">
        <v>9</v>
      </c>
      <c r="Q9" s="28" t="s">
        <v>10</v>
      </c>
    </row>
    <row r="10" spans="2:18" x14ac:dyDescent="0.3">
      <c r="B10" s="21" t="s">
        <v>12</v>
      </c>
      <c r="C10" s="4">
        <v>199</v>
      </c>
      <c r="D10" s="5">
        <v>99</v>
      </c>
      <c r="E10" s="6">
        <v>17.057099999999998</v>
      </c>
      <c r="F10" s="10" t="s">
        <v>21</v>
      </c>
      <c r="G10" s="11" t="s">
        <v>21</v>
      </c>
      <c r="H10" s="4">
        <v>110</v>
      </c>
      <c r="I10" s="6">
        <v>15.7691</v>
      </c>
      <c r="J10" s="4">
        <v>1</v>
      </c>
      <c r="K10" s="6">
        <v>38.1218</v>
      </c>
      <c r="L10" s="14">
        <v>3.2970000000000002</v>
      </c>
      <c r="M10" s="5">
        <v>499</v>
      </c>
      <c r="N10" s="15">
        <v>146</v>
      </c>
      <c r="O10" s="18" t="s">
        <v>21</v>
      </c>
      <c r="P10" s="19" t="s">
        <v>21</v>
      </c>
      <c r="Q10" s="20" t="s">
        <v>21</v>
      </c>
    </row>
    <row r="11" spans="2:18" x14ac:dyDescent="0.3">
      <c r="B11" s="22" t="s">
        <v>13</v>
      </c>
      <c r="C11" s="7">
        <v>34</v>
      </c>
      <c r="D11" s="8">
        <v>30</v>
      </c>
      <c r="E11" s="9">
        <v>23.2347</v>
      </c>
      <c r="F11" s="7">
        <v>1</v>
      </c>
      <c r="G11" s="9">
        <v>41.701000000000001</v>
      </c>
      <c r="H11" s="7">
        <v>13</v>
      </c>
      <c r="I11" s="9">
        <v>19.613399999999999</v>
      </c>
      <c r="J11" s="7">
        <v>18</v>
      </c>
      <c r="K11" s="9">
        <v>27.485499999999998</v>
      </c>
      <c r="L11" s="16">
        <v>1.4745999999999999</v>
      </c>
      <c r="M11" s="8">
        <v>117</v>
      </c>
      <c r="N11" s="17">
        <v>17</v>
      </c>
      <c r="O11" s="16">
        <v>7.8739999999999997</v>
      </c>
      <c r="P11" s="8">
        <v>26</v>
      </c>
      <c r="Q11" s="17">
        <v>10</v>
      </c>
      <c r="R11" t="s">
        <v>11</v>
      </c>
    </row>
    <row r="12" spans="2:18" x14ac:dyDescent="0.3">
      <c r="B12" s="22" t="s">
        <v>14</v>
      </c>
      <c r="C12" s="7">
        <v>7</v>
      </c>
      <c r="D12" s="8">
        <v>1</v>
      </c>
      <c r="E12" s="9">
        <v>26.147099999999998</v>
      </c>
      <c r="F12" s="7">
        <v>1</v>
      </c>
      <c r="G12" s="9">
        <v>4.3666999999999998</v>
      </c>
      <c r="H12" s="12" t="s">
        <v>23</v>
      </c>
      <c r="I12" s="13" t="s">
        <v>23</v>
      </c>
      <c r="J12" s="7">
        <v>1</v>
      </c>
      <c r="K12" s="9">
        <v>26.147099999999998</v>
      </c>
      <c r="L12" s="16">
        <v>13.5733</v>
      </c>
      <c r="M12" s="8">
        <v>25</v>
      </c>
      <c r="N12" s="17">
        <v>5</v>
      </c>
      <c r="O12" s="16">
        <v>2.8864999999999998</v>
      </c>
      <c r="P12" s="8">
        <v>6</v>
      </c>
      <c r="Q12" s="17">
        <v>1</v>
      </c>
      <c r="R12" t="s">
        <v>11</v>
      </c>
    </row>
    <row r="13" spans="2:18" x14ac:dyDescent="0.3">
      <c r="B13" s="29" t="s">
        <v>15</v>
      </c>
      <c r="C13" s="30">
        <v>4875</v>
      </c>
      <c r="D13" s="31">
        <v>2788</v>
      </c>
      <c r="E13" s="32">
        <v>11.9931</v>
      </c>
      <c r="F13" s="30">
        <v>1340</v>
      </c>
      <c r="G13" s="32">
        <v>16.7441</v>
      </c>
      <c r="H13" s="30">
        <v>1033</v>
      </c>
      <c r="I13" s="32">
        <v>5.0128000000000004</v>
      </c>
      <c r="J13" s="30">
        <v>1305</v>
      </c>
      <c r="K13" s="32">
        <v>10.0623</v>
      </c>
      <c r="L13" s="33">
        <v>2.6332</v>
      </c>
      <c r="M13" s="31">
        <v>18297</v>
      </c>
      <c r="N13" s="34">
        <v>1362</v>
      </c>
      <c r="O13" s="33">
        <v>0.71509999999999996</v>
      </c>
      <c r="P13" s="31">
        <v>4888</v>
      </c>
      <c r="Q13" s="35">
        <v>130</v>
      </c>
      <c r="R13" t="s">
        <v>11</v>
      </c>
    </row>
    <row r="15" spans="2:18" x14ac:dyDescent="0.3">
      <c r="B15" s="38" t="s">
        <v>25</v>
      </c>
    </row>
    <row r="16" spans="2:18" s="1" customFormat="1" ht="43.2" x14ac:dyDescent="0.3">
      <c r="B16" s="2" t="s">
        <v>0</v>
      </c>
      <c r="C16" s="23" t="s">
        <v>1</v>
      </c>
      <c r="D16" s="23" t="s">
        <v>16</v>
      </c>
      <c r="E16" s="23" t="s">
        <v>17</v>
      </c>
      <c r="F16" s="24" t="s">
        <v>18</v>
      </c>
      <c r="G16" s="24" t="s">
        <v>2</v>
      </c>
      <c r="H16" s="26" t="s">
        <v>19</v>
      </c>
      <c r="I16" s="26" t="s">
        <v>3</v>
      </c>
      <c r="J16" s="27" t="s">
        <v>20</v>
      </c>
      <c r="K16" s="27" t="s">
        <v>4</v>
      </c>
      <c r="L16" s="25" t="s">
        <v>5</v>
      </c>
      <c r="M16" s="25" t="s">
        <v>6</v>
      </c>
      <c r="N16" s="25" t="s">
        <v>7</v>
      </c>
      <c r="O16" s="28" t="s">
        <v>8</v>
      </c>
      <c r="P16" s="28" t="s">
        <v>9</v>
      </c>
      <c r="Q16" s="28" t="s">
        <v>10</v>
      </c>
    </row>
    <row r="17" spans="2:17" x14ac:dyDescent="0.3">
      <c r="B17" s="21" t="s">
        <v>12</v>
      </c>
      <c r="C17" s="4">
        <v>121</v>
      </c>
      <c r="D17" s="5">
        <v>49</v>
      </c>
      <c r="E17" s="6">
        <v>21.7712</v>
      </c>
      <c r="F17" s="10" t="s">
        <v>21</v>
      </c>
      <c r="G17" s="11" t="s">
        <v>21</v>
      </c>
      <c r="H17" s="4">
        <v>53</v>
      </c>
      <c r="I17" s="6">
        <v>21.2224</v>
      </c>
      <c r="J17" s="4">
        <v>1</v>
      </c>
      <c r="K17" s="6">
        <v>71.041600000000003</v>
      </c>
      <c r="L17" s="14">
        <v>2.2652999999999999</v>
      </c>
      <c r="M17" s="5">
        <v>321</v>
      </c>
      <c r="N17" s="15">
        <v>91</v>
      </c>
      <c r="O17" s="18" t="s">
        <v>21</v>
      </c>
      <c r="P17" s="19" t="s">
        <v>21</v>
      </c>
      <c r="Q17" s="20" t="s">
        <v>21</v>
      </c>
    </row>
    <row r="18" spans="2:17" x14ac:dyDescent="0.3">
      <c r="B18" s="22" t="s">
        <v>13</v>
      </c>
      <c r="C18" s="7">
        <v>132</v>
      </c>
      <c r="D18" s="8">
        <v>23</v>
      </c>
      <c r="E18" s="9">
        <v>19.9297</v>
      </c>
      <c r="F18" s="7">
        <v>6</v>
      </c>
      <c r="G18" s="9">
        <v>37.917200000000001</v>
      </c>
      <c r="H18" s="7">
        <v>7</v>
      </c>
      <c r="I18" s="9">
        <v>14.7522</v>
      </c>
      <c r="J18" s="7">
        <v>12</v>
      </c>
      <c r="K18" s="9">
        <v>19.309799999999999</v>
      </c>
      <c r="L18" s="16">
        <v>0.97450000000000003</v>
      </c>
      <c r="M18" s="8">
        <v>69</v>
      </c>
      <c r="N18" s="17">
        <v>7</v>
      </c>
      <c r="O18" s="16">
        <v>0.4904</v>
      </c>
      <c r="P18" s="8">
        <v>116</v>
      </c>
      <c r="Q18" s="17">
        <v>5</v>
      </c>
    </row>
    <row r="19" spans="2:17" x14ac:dyDescent="0.3">
      <c r="B19" s="22" t="s">
        <v>14</v>
      </c>
      <c r="C19" s="7">
        <v>20</v>
      </c>
      <c r="D19" s="8">
        <v>6</v>
      </c>
      <c r="E19" s="9">
        <v>20.054500000000001</v>
      </c>
      <c r="F19" s="7">
        <v>1</v>
      </c>
      <c r="G19" s="9">
        <v>32.0886</v>
      </c>
      <c r="H19" s="12">
        <v>3</v>
      </c>
      <c r="I19" s="13">
        <v>16.915199999999999</v>
      </c>
      <c r="J19" s="7">
        <v>2</v>
      </c>
      <c r="K19" s="9">
        <v>18.746400000000001</v>
      </c>
      <c r="L19" s="16">
        <v>9.5403000000000002</v>
      </c>
      <c r="M19" s="8">
        <v>71</v>
      </c>
      <c r="N19" s="17">
        <v>16</v>
      </c>
      <c r="O19" s="16">
        <v>1.5166999999999999</v>
      </c>
      <c r="P19" s="8">
        <v>19</v>
      </c>
      <c r="Q19" s="17">
        <v>2</v>
      </c>
    </row>
    <row r="20" spans="2:17" x14ac:dyDescent="0.3">
      <c r="B20" s="29" t="s">
        <v>15</v>
      </c>
      <c r="C20" s="30">
        <v>4574</v>
      </c>
      <c r="D20" s="31">
        <v>3903</v>
      </c>
      <c r="E20" s="32">
        <v>12.1252</v>
      </c>
      <c r="F20" s="30">
        <v>1927</v>
      </c>
      <c r="G20" s="32">
        <v>19.8276</v>
      </c>
      <c r="H20" s="30">
        <v>977</v>
      </c>
      <c r="I20" s="32">
        <v>9.1249000000000002</v>
      </c>
      <c r="J20" s="30">
        <v>1997</v>
      </c>
      <c r="K20" s="32">
        <v>8.1182999999999996</v>
      </c>
      <c r="L20" s="33">
        <v>2.2410000000000001</v>
      </c>
      <c r="M20" s="31">
        <v>16526</v>
      </c>
      <c r="N20" s="34">
        <v>1114</v>
      </c>
      <c r="O20" s="33">
        <v>0.57820000000000005</v>
      </c>
      <c r="P20" s="31">
        <v>4548</v>
      </c>
      <c r="Q20" s="35">
        <v>45</v>
      </c>
    </row>
    <row r="22" spans="2:17" x14ac:dyDescent="0.3">
      <c r="B22" s="38" t="s">
        <v>26</v>
      </c>
    </row>
    <row r="23" spans="2:17" s="1" customFormat="1" ht="43.2" x14ac:dyDescent="0.3">
      <c r="B23" s="2" t="s">
        <v>0</v>
      </c>
      <c r="C23" s="23" t="s">
        <v>1</v>
      </c>
      <c r="D23" s="23" t="s">
        <v>16</v>
      </c>
      <c r="E23" s="23" t="s">
        <v>17</v>
      </c>
      <c r="F23" s="24" t="s">
        <v>18</v>
      </c>
      <c r="G23" s="24" t="s">
        <v>2</v>
      </c>
      <c r="H23" s="26" t="s">
        <v>19</v>
      </c>
      <c r="I23" s="26" t="s">
        <v>3</v>
      </c>
      <c r="J23" s="27" t="s">
        <v>20</v>
      </c>
      <c r="K23" s="27" t="s">
        <v>4</v>
      </c>
      <c r="L23" s="25" t="s">
        <v>5</v>
      </c>
      <c r="M23" s="25" t="s">
        <v>6</v>
      </c>
      <c r="N23" s="25" t="s">
        <v>7</v>
      </c>
      <c r="O23" s="28" t="s">
        <v>8</v>
      </c>
      <c r="P23" s="28" t="s">
        <v>9</v>
      </c>
      <c r="Q23" s="28" t="s">
        <v>10</v>
      </c>
    </row>
    <row r="24" spans="2:17" x14ac:dyDescent="0.3">
      <c r="B24" s="21" t="s">
        <v>12</v>
      </c>
      <c r="C24" s="4">
        <v>136</v>
      </c>
      <c r="D24" s="5">
        <v>51</v>
      </c>
      <c r="E24" s="6">
        <v>14.134600000000001</v>
      </c>
      <c r="F24" s="10" t="s">
        <v>21</v>
      </c>
      <c r="G24" s="11" t="s">
        <v>21</v>
      </c>
      <c r="H24" s="4">
        <v>74</v>
      </c>
      <c r="I24" s="6">
        <v>10.1557</v>
      </c>
      <c r="J24" s="4">
        <v>1</v>
      </c>
      <c r="K24" s="6">
        <v>83.216899999999995</v>
      </c>
      <c r="L24" s="14">
        <v>1.54</v>
      </c>
      <c r="M24" s="5">
        <v>376</v>
      </c>
      <c r="N24" s="15">
        <v>107</v>
      </c>
      <c r="O24" s="18" t="s">
        <v>21</v>
      </c>
      <c r="P24" s="19" t="s">
        <v>21</v>
      </c>
      <c r="Q24" s="20" t="s">
        <v>21</v>
      </c>
    </row>
    <row r="25" spans="2:17" x14ac:dyDescent="0.3">
      <c r="B25" s="22" t="s">
        <v>13</v>
      </c>
      <c r="C25" s="7">
        <v>81</v>
      </c>
      <c r="D25" s="8">
        <v>31</v>
      </c>
      <c r="E25" s="9">
        <v>21.132400000000001</v>
      </c>
      <c r="F25" s="7">
        <v>4</v>
      </c>
      <c r="G25" s="9">
        <v>66.800899999999999</v>
      </c>
      <c r="H25" s="7">
        <v>4</v>
      </c>
      <c r="I25" s="9">
        <v>26.106200000000001</v>
      </c>
      <c r="J25" s="7">
        <v>38</v>
      </c>
      <c r="K25" s="9">
        <v>10.307700000000001</v>
      </c>
      <c r="L25" s="16">
        <v>2.5257999999999998</v>
      </c>
      <c r="M25" s="8">
        <v>198</v>
      </c>
      <c r="N25" s="17">
        <v>27</v>
      </c>
      <c r="O25" s="16">
        <v>3.3334000000000001</v>
      </c>
      <c r="P25" s="8">
        <v>57</v>
      </c>
      <c r="Q25" s="17">
        <v>4</v>
      </c>
    </row>
    <row r="26" spans="2:17" x14ac:dyDescent="0.3">
      <c r="B26" s="22" t="s">
        <v>14</v>
      </c>
      <c r="C26" s="7">
        <v>28</v>
      </c>
      <c r="D26" s="8">
        <v>5</v>
      </c>
      <c r="E26" s="9">
        <v>40.536499999999997</v>
      </c>
      <c r="F26" s="7">
        <v>8</v>
      </c>
      <c r="G26" s="9">
        <v>37.599400000000003</v>
      </c>
      <c r="H26" s="12" t="s">
        <v>23</v>
      </c>
      <c r="I26" s="13" t="s">
        <v>23</v>
      </c>
      <c r="J26" s="7">
        <v>5</v>
      </c>
      <c r="K26" s="9">
        <v>14.2361</v>
      </c>
      <c r="L26" s="16">
        <v>8.9059000000000008</v>
      </c>
      <c r="M26" s="8">
        <v>78</v>
      </c>
      <c r="N26" s="17">
        <v>19</v>
      </c>
      <c r="O26" s="16">
        <v>0.21010000000000001</v>
      </c>
      <c r="P26" s="8">
        <v>24</v>
      </c>
      <c r="Q26" s="17">
        <v>0</v>
      </c>
    </row>
    <row r="27" spans="2:17" x14ac:dyDescent="0.3">
      <c r="B27" s="29" t="s">
        <v>15</v>
      </c>
      <c r="C27" s="30">
        <v>6972</v>
      </c>
      <c r="D27" s="31">
        <v>4735</v>
      </c>
      <c r="E27" s="32">
        <v>14.351000000000001</v>
      </c>
      <c r="F27" s="30">
        <v>2230</v>
      </c>
      <c r="G27" s="32">
        <v>22.913900000000002</v>
      </c>
      <c r="H27" s="30">
        <v>995</v>
      </c>
      <c r="I27" s="32">
        <v>8.0573999999999995</v>
      </c>
      <c r="J27" s="30">
        <v>2567</v>
      </c>
      <c r="K27" s="32">
        <v>9.2348999999999997</v>
      </c>
      <c r="L27" s="33">
        <v>1.5838000000000001</v>
      </c>
      <c r="M27" s="31">
        <v>18932</v>
      </c>
      <c r="N27" s="34">
        <v>912</v>
      </c>
      <c r="O27" s="33">
        <v>1.9614</v>
      </c>
      <c r="P27" s="31">
        <v>5292</v>
      </c>
      <c r="Q27" s="35">
        <v>335</v>
      </c>
    </row>
    <row r="29" spans="2:17" x14ac:dyDescent="0.3">
      <c r="B29" s="38" t="s">
        <v>27</v>
      </c>
    </row>
    <row r="30" spans="2:17" s="1" customFormat="1" ht="43.2" x14ac:dyDescent="0.3">
      <c r="B30" s="2" t="s">
        <v>0</v>
      </c>
      <c r="C30" s="23" t="s">
        <v>1</v>
      </c>
      <c r="D30" s="23" t="s">
        <v>16</v>
      </c>
      <c r="E30" s="23" t="s">
        <v>17</v>
      </c>
      <c r="F30" s="24" t="s">
        <v>18</v>
      </c>
      <c r="G30" s="24" t="s">
        <v>2</v>
      </c>
      <c r="H30" s="26" t="s">
        <v>19</v>
      </c>
      <c r="I30" s="26" t="s">
        <v>3</v>
      </c>
      <c r="J30" s="27" t="s">
        <v>20</v>
      </c>
      <c r="K30" s="27" t="s">
        <v>4</v>
      </c>
      <c r="L30" s="25" t="s">
        <v>5</v>
      </c>
      <c r="M30" s="25" t="s">
        <v>6</v>
      </c>
      <c r="N30" s="25" t="s">
        <v>7</v>
      </c>
      <c r="O30" s="28" t="s">
        <v>8</v>
      </c>
      <c r="P30" s="28" t="s">
        <v>9</v>
      </c>
      <c r="Q30" s="28" t="s">
        <v>10</v>
      </c>
    </row>
    <row r="31" spans="2:17" x14ac:dyDescent="0.3">
      <c r="B31" s="21" t="s">
        <v>12</v>
      </c>
      <c r="C31" s="4">
        <v>588</v>
      </c>
      <c r="D31" s="5">
        <v>193</v>
      </c>
      <c r="E31" s="6">
        <v>8.5800999999999998</v>
      </c>
      <c r="F31" s="10" t="s">
        <v>21</v>
      </c>
      <c r="G31" s="11" t="s">
        <v>21</v>
      </c>
      <c r="H31" s="4">
        <v>249</v>
      </c>
      <c r="I31" s="6">
        <v>8.5772999999999993</v>
      </c>
      <c r="J31" s="36" t="s">
        <v>23</v>
      </c>
      <c r="K31" s="37" t="s">
        <v>23</v>
      </c>
      <c r="L31" s="14">
        <v>2.5257000000000001</v>
      </c>
      <c r="M31" s="5">
        <v>1798</v>
      </c>
      <c r="N31" s="15">
        <v>516</v>
      </c>
      <c r="O31" s="18" t="s">
        <v>21</v>
      </c>
      <c r="P31" s="19" t="s">
        <v>21</v>
      </c>
      <c r="Q31" s="20" t="s">
        <v>21</v>
      </c>
    </row>
    <row r="32" spans="2:17" x14ac:dyDescent="0.3">
      <c r="B32" s="22" t="s">
        <v>13</v>
      </c>
      <c r="C32" s="7">
        <v>17</v>
      </c>
      <c r="D32" s="8">
        <v>28</v>
      </c>
      <c r="E32" s="9">
        <v>23.191800000000001</v>
      </c>
      <c r="F32" s="7">
        <v>6</v>
      </c>
      <c r="G32" s="9">
        <v>19.990100000000002</v>
      </c>
      <c r="H32" s="7">
        <v>7</v>
      </c>
      <c r="I32" s="9">
        <v>20.8645</v>
      </c>
      <c r="J32" s="7">
        <v>23</v>
      </c>
      <c r="K32" s="9">
        <v>23.7624</v>
      </c>
      <c r="L32" s="16">
        <v>2.3374999999999999</v>
      </c>
      <c r="M32" s="8">
        <v>60</v>
      </c>
      <c r="N32" s="17">
        <v>12</v>
      </c>
      <c r="O32" s="16">
        <v>5.6163999999999996</v>
      </c>
      <c r="P32" s="8">
        <v>14</v>
      </c>
      <c r="Q32" s="17">
        <v>2</v>
      </c>
    </row>
    <row r="33" spans="2:17" x14ac:dyDescent="0.3">
      <c r="B33" s="22" t="s">
        <v>14</v>
      </c>
      <c r="C33" s="7">
        <v>62</v>
      </c>
      <c r="D33" s="8">
        <v>24</v>
      </c>
      <c r="E33" s="9">
        <v>39.480699999999999</v>
      </c>
      <c r="F33" s="7">
        <v>11</v>
      </c>
      <c r="G33" s="9">
        <v>55.466099999999997</v>
      </c>
      <c r="H33" s="12">
        <v>1</v>
      </c>
      <c r="I33" s="13">
        <v>20.825600000000001</v>
      </c>
      <c r="J33" s="7">
        <v>13</v>
      </c>
      <c r="K33" s="9">
        <v>28.452400000000001</v>
      </c>
      <c r="L33" s="16">
        <v>7.1563999999999997</v>
      </c>
      <c r="M33" s="8">
        <v>164</v>
      </c>
      <c r="N33" s="17">
        <v>43</v>
      </c>
      <c r="O33" s="16">
        <v>0.11219999999999999</v>
      </c>
      <c r="P33" s="8">
        <v>53</v>
      </c>
      <c r="Q33" s="17">
        <v>0</v>
      </c>
    </row>
    <row r="34" spans="2:17" x14ac:dyDescent="0.3">
      <c r="B34" s="29" t="s">
        <v>15</v>
      </c>
      <c r="C34" s="30">
        <v>4728</v>
      </c>
      <c r="D34" s="31">
        <v>3567</v>
      </c>
      <c r="E34" s="32">
        <v>22.498699999999999</v>
      </c>
      <c r="F34" s="30">
        <v>1470</v>
      </c>
      <c r="G34" s="32">
        <v>27.2988</v>
      </c>
      <c r="H34" s="30">
        <v>271</v>
      </c>
      <c r="I34" s="32">
        <v>11.497999999999999</v>
      </c>
      <c r="J34" s="30">
        <v>1881</v>
      </c>
      <c r="K34" s="32">
        <v>20.1724</v>
      </c>
      <c r="L34" s="33">
        <v>2.5341999999999998</v>
      </c>
      <c r="M34" s="31">
        <v>13359</v>
      </c>
      <c r="N34" s="34">
        <v>1322</v>
      </c>
      <c r="O34" s="33">
        <v>0.6169</v>
      </c>
      <c r="P34" s="31">
        <v>3916</v>
      </c>
      <c r="Q34" s="35">
        <v>61</v>
      </c>
    </row>
    <row r="36" spans="2:17" x14ac:dyDescent="0.3">
      <c r="B36" s="38" t="s">
        <v>28</v>
      </c>
    </row>
    <row r="37" spans="2:17" s="1" customFormat="1" ht="43.2" x14ac:dyDescent="0.3">
      <c r="B37" s="2" t="s">
        <v>0</v>
      </c>
      <c r="C37" s="23" t="s">
        <v>1</v>
      </c>
      <c r="D37" s="23" t="s">
        <v>16</v>
      </c>
      <c r="E37" s="23" t="s">
        <v>17</v>
      </c>
      <c r="F37" s="24" t="s">
        <v>18</v>
      </c>
      <c r="G37" s="24" t="s">
        <v>2</v>
      </c>
      <c r="H37" s="26" t="s">
        <v>19</v>
      </c>
      <c r="I37" s="26" t="s">
        <v>3</v>
      </c>
      <c r="J37" s="27" t="s">
        <v>20</v>
      </c>
      <c r="K37" s="27" t="s">
        <v>4</v>
      </c>
      <c r="L37" s="25" t="s">
        <v>5</v>
      </c>
      <c r="M37" s="25" t="s">
        <v>6</v>
      </c>
      <c r="N37" s="25" t="s">
        <v>7</v>
      </c>
      <c r="O37" s="28" t="s">
        <v>8</v>
      </c>
      <c r="P37" s="28" t="s">
        <v>9</v>
      </c>
      <c r="Q37" s="28" t="s">
        <v>10</v>
      </c>
    </row>
    <row r="38" spans="2:17" x14ac:dyDescent="0.3">
      <c r="B38" s="21" t="s">
        <v>12</v>
      </c>
      <c r="C38" s="4">
        <v>2347</v>
      </c>
      <c r="D38" s="5">
        <v>1005</v>
      </c>
      <c r="E38" s="6">
        <v>8.7856000000000005</v>
      </c>
      <c r="F38" s="10" t="s">
        <v>21</v>
      </c>
      <c r="G38" s="11" t="s">
        <v>21</v>
      </c>
      <c r="H38" s="4">
        <v>1056</v>
      </c>
      <c r="I38" s="6">
        <v>8.7365999999999993</v>
      </c>
      <c r="J38" s="36">
        <v>1</v>
      </c>
      <c r="K38" s="37">
        <v>36.866300000000003</v>
      </c>
      <c r="L38" s="14">
        <v>2.1011000000000002</v>
      </c>
      <c r="M38" s="5">
        <v>6952</v>
      </c>
      <c r="N38" s="15">
        <v>1934</v>
      </c>
      <c r="O38" s="18" t="s">
        <v>21</v>
      </c>
      <c r="P38" s="19" t="s">
        <v>21</v>
      </c>
      <c r="Q38" s="20" t="s">
        <v>21</v>
      </c>
    </row>
    <row r="39" spans="2:17" x14ac:dyDescent="0.3">
      <c r="B39" s="22" t="s">
        <v>13</v>
      </c>
      <c r="C39" s="7">
        <v>88</v>
      </c>
      <c r="D39" s="8">
        <v>19</v>
      </c>
      <c r="E39" s="9">
        <v>22.421600000000002</v>
      </c>
      <c r="F39" s="7">
        <v>10</v>
      </c>
      <c r="G39" s="9">
        <v>26.1312</v>
      </c>
      <c r="H39" s="7">
        <v>2</v>
      </c>
      <c r="I39" s="9">
        <v>34.627699999999997</v>
      </c>
      <c r="J39" s="7">
        <v>11</v>
      </c>
      <c r="K39" s="9">
        <v>13.678699999999999</v>
      </c>
      <c r="L39" s="16">
        <v>3.9278</v>
      </c>
      <c r="M39" s="8">
        <v>100</v>
      </c>
      <c r="N39" s="17">
        <v>20</v>
      </c>
      <c r="O39" s="16">
        <v>2.0699000000000001</v>
      </c>
      <c r="P39" s="8">
        <v>27</v>
      </c>
      <c r="Q39" s="17">
        <v>4</v>
      </c>
    </row>
    <row r="40" spans="2:17" x14ac:dyDescent="0.3">
      <c r="B40" s="22" t="s">
        <v>14</v>
      </c>
      <c r="C40" s="7">
        <v>85</v>
      </c>
      <c r="D40" s="8">
        <v>62</v>
      </c>
      <c r="E40" s="9">
        <v>32.121200000000002</v>
      </c>
      <c r="F40" s="7">
        <v>23</v>
      </c>
      <c r="G40" s="9">
        <v>41.548400000000001</v>
      </c>
      <c r="H40" s="12" t="s">
        <v>23</v>
      </c>
      <c r="I40" s="13" t="s">
        <v>23</v>
      </c>
      <c r="J40" s="7">
        <v>41</v>
      </c>
      <c r="K40" s="9">
        <v>26.988</v>
      </c>
      <c r="L40" s="16">
        <v>4.6650999999999998</v>
      </c>
      <c r="M40" s="8">
        <v>202</v>
      </c>
      <c r="N40" s="17">
        <v>43</v>
      </c>
      <c r="O40" s="16">
        <v>0.30320000000000003</v>
      </c>
      <c r="P40" s="8">
        <v>66</v>
      </c>
      <c r="Q40" s="17">
        <v>1</v>
      </c>
    </row>
    <row r="41" spans="2:17" x14ac:dyDescent="0.3">
      <c r="B41" s="29" t="s">
        <v>15</v>
      </c>
      <c r="C41" s="30">
        <v>8247</v>
      </c>
      <c r="D41" s="31">
        <v>5975</v>
      </c>
      <c r="E41" s="32">
        <v>9.4916</v>
      </c>
      <c r="F41" s="30">
        <v>2134</v>
      </c>
      <c r="G41" s="32">
        <v>15.885400000000001</v>
      </c>
      <c r="H41" s="30">
        <v>188</v>
      </c>
      <c r="I41" s="32">
        <v>16.559799999999999</v>
      </c>
      <c r="J41" s="30">
        <v>3698</v>
      </c>
      <c r="K41" s="32">
        <v>5.4659000000000004</v>
      </c>
      <c r="L41" s="33">
        <v>1.9153</v>
      </c>
      <c r="M41" s="31">
        <v>25408</v>
      </c>
      <c r="N41" s="34">
        <v>1281</v>
      </c>
      <c r="O41" s="33">
        <v>2.0495000000000001</v>
      </c>
      <c r="P41" s="31">
        <v>7798</v>
      </c>
      <c r="Q41" s="35">
        <v>508</v>
      </c>
    </row>
    <row r="43" spans="2:17" x14ac:dyDescent="0.3">
      <c r="B43" s="38" t="s">
        <v>29</v>
      </c>
    </row>
    <row r="44" spans="2:17" s="1" customFormat="1" ht="43.2" x14ac:dyDescent="0.3">
      <c r="B44" s="2" t="s">
        <v>0</v>
      </c>
      <c r="C44" s="23" t="s">
        <v>1</v>
      </c>
      <c r="D44" s="23" t="s">
        <v>16</v>
      </c>
      <c r="E44" s="23" t="s">
        <v>17</v>
      </c>
      <c r="F44" s="24" t="s">
        <v>18</v>
      </c>
      <c r="G44" s="24" t="s">
        <v>2</v>
      </c>
      <c r="H44" s="26" t="s">
        <v>19</v>
      </c>
      <c r="I44" s="26" t="s">
        <v>3</v>
      </c>
      <c r="J44" s="27" t="s">
        <v>20</v>
      </c>
      <c r="K44" s="27" t="s">
        <v>4</v>
      </c>
      <c r="L44" s="25" t="s">
        <v>5</v>
      </c>
      <c r="M44" s="25" t="s">
        <v>6</v>
      </c>
      <c r="N44" s="25" t="s">
        <v>7</v>
      </c>
      <c r="O44" s="28" t="s">
        <v>8</v>
      </c>
      <c r="P44" s="28" t="s">
        <v>9</v>
      </c>
      <c r="Q44" s="28" t="s">
        <v>10</v>
      </c>
    </row>
    <row r="45" spans="2:17" x14ac:dyDescent="0.3">
      <c r="B45" s="21" t="s">
        <v>12</v>
      </c>
      <c r="C45" s="4">
        <v>3016</v>
      </c>
      <c r="D45" s="5">
        <v>1643</v>
      </c>
      <c r="E45" s="6">
        <v>8.5178999999999991</v>
      </c>
      <c r="F45" s="10" t="s">
        <v>21</v>
      </c>
      <c r="G45" s="11" t="s">
        <v>21</v>
      </c>
      <c r="H45" s="4">
        <v>1762</v>
      </c>
      <c r="I45" s="6">
        <v>8.3986000000000001</v>
      </c>
      <c r="J45" s="36">
        <v>14</v>
      </c>
      <c r="K45" s="37">
        <v>13.314299999999999</v>
      </c>
      <c r="L45" s="14">
        <v>1.8223</v>
      </c>
      <c r="M45" s="5">
        <v>8597</v>
      </c>
      <c r="N45" s="15">
        <v>1907</v>
      </c>
      <c r="O45" s="18" t="s">
        <v>21</v>
      </c>
      <c r="P45" s="19" t="s">
        <v>21</v>
      </c>
      <c r="Q45" s="20" t="s">
        <v>21</v>
      </c>
    </row>
    <row r="46" spans="2:17" x14ac:dyDescent="0.3">
      <c r="B46" s="22" t="s">
        <v>13</v>
      </c>
      <c r="C46" s="7">
        <v>112</v>
      </c>
      <c r="D46" s="8">
        <v>30</v>
      </c>
      <c r="E46" s="9">
        <v>24.255099999999999</v>
      </c>
      <c r="F46" s="7">
        <v>10</v>
      </c>
      <c r="G46" s="9">
        <v>40.052500000000002</v>
      </c>
      <c r="H46" s="7">
        <v>12</v>
      </c>
      <c r="I46" s="9">
        <v>12.3674</v>
      </c>
      <c r="J46" s="7">
        <v>20</v>
      </c>
      <c r="K46" s="9">
        <v>10.1579</v>
      </c>
      <c r="L46" s="16">
        <v>0.68520000000000003</v>
      </c>
      <c r="M46" s="8">
        <v>146</v>
      </c>
      <c r="N46" s="17">
        <v>11</v>
      </c>
      <c r="O46" s="16">
        <v>0.32669999999999999</v>
      </c>
      <c r="P46" s="8">
        <v>36</v>
      </c>
      <c r="Q46" s="17">
        <v>0</v>
      </c>
    </row>
    <row r="47" spans="2:17" x14ac:dyDescent="0.3">
      <c r="B47" s="22" t="s">
        <v>14</v>
      </c>
      <c r="C47" s="7">
        <v>135</v>
      </c>
      <c r="D47" s="8">
        <v>73</v>
      </c>
      <c r="E47" s="9">
        <v>20.110199999999999</v>
      </c>
      <c r="F47" s="7">
        <v>31</v>
      </c>
      <c r="G47" s="9">
        <v>27.325099999999999</v>
      </c>
      <c r="H47" s="12" t="s">
        <v>23</v>
      </c>
      <c r="I47" s="13" t="s">
        <v>23</v>
      </c>
      <c r="J47" s="7">
        <v>42</v>
      </c>
      <c r="K47" s="9">
        <v>14.7849</v>
      </c>
      <c r="L47" s="16">
        <v>1.0764</v>
      </c>
      <c r="M47" s="8">
        <v>209</v>
      </c>
      <c r="N47" s="17">
        <v>14</v>
      </c>
      <c r="O47" s="16">
        <v>0.74990000000000001</v>
      </c>
      <c r="P47" s="8">
        <v>93</v>
      </c>
      <c r="Q47" s="17">
        <v>2</v>
      </c>
    </row>
    <row r="48" spans="2:17" x14ac:dyDescent="0.3">
      <c r="B48" s="29" t="s">
        <v>15</v>
      </c>
      <c r="C48" s="30">
        <v>10598</v>
      </c>
      <c r="D48" s="31">
        <v>8465</v>
      </c>
      <c r="E48" s="32">
        <v>11.0191</v>
      </c>
      <c r="F48" s="30">
        <v>2822</v>
      </c>
      <c r="G48" s="32">
        <v>15.545</v>
      </c>
      <c r="H48" s="30">
        <v>563</v>
      </c>
      <c r="I48" s="32">
        <v>15.671799999999999</v>
      </c>
      <c r="J48" s="30">
        <v>5407</v>
      </c>
      <c r="K48" s="32">
        <v>8.2106999999999992</v>
      </c>
      <c r="L48" s="33">
        <v>0.84240000000000004</v>
      </c>
      <c r="M48" s="31">
        <v>29852</v>
      </c>
      <c r="N48" s="34">
        <v>1092</v>
      </c>
      <c r="O48" s="33">
        <v>1.3812</v>
      </c>
      <c r="P48" s="31">
        <v>10204</v>
      </c>
      <c r="Q48" s="35">
        <v>669</v>
      </c>
    </row>
    <row r="50" spans="2:17" x14ac:dyDescent="0.3">
      <c r="B50" s="38" t="s">
        <v>30</v>
      </c>
    </row>
    <row r="51" spans="2:17" s="1" customFormat="1" ht="43.2" x14ac:dyDescent="0.3">
      <c r="B51" s="2" t="s">
        <v>0</v>
      </c>
      <c r="C51" s="23" t="s">
        <v>1</v>
      </c>
      <c r="D51" s="23" t="s">
        <v>16</v>
      </c>
      <c r="E51" s="23" t="s">
        <v>17</v>
      </c>
      <c r="F51" s="24" t="s">
        <v>18</v>
      </c>
      <c r="G51" s="24" t="s">
        <v>2</v>
      </c>
      <c r="H51" s="26" t="s">
        <v>19</v>
      </c>
      <c r="I51" s="26" t="s">
        <v>3</v>
      </c>
      <c r="J51" s="27" t="s">
        <v>20</v>
      </c>
      <c r="K51" s="27" t="s">
        <v>4</v>
      </c>
      <c r="L51" s="25" t="s">
        <v>5</v>
      </c>
      <c r="M51" s="25" t="s">
        <v>6</v>
      </c>
      <c r="N51" s="25" t="s">
        <v>7</v>
      </c>
      <c r="O51" s="28" t="s">
        <v>8</v>
      </c>
      <c r="P51" s="28" t="s">
        <v>9</v>
      </c>
      <c r="Q51" s="28" t="s">
        <v>10</v>
      </c>
    </row>
    <row r="52" spans="2:17" x14ac:dyDescent="0.3">
      <c r="B52" s="21" t="s">
        <v>12</v>
      </c>
      <c r="C52" s="4">
        <v>3774</v>
      </c>
      <c r="D52" s="5">
        <v>2111</v>
      </c>
      <c r="E52" s="6">
        <v>8.8414999999999999</v>
      </c>
      <c r="F52" s="10" t="s">
        <v>21</v>
      </c>
      <c r="G52" s="11" t="s">
        <v>21</v>
      </c>
      <c r="H52" s="4">
        <v>2229</v>
      </c>
      <c r="I52" s="6">
        <v>8.6156000000000006</v>
      </c>
      <c r="J52" s="36">
        <v>18</v>
      </c>
      <c r="K52" s="37">
        <v>25.325199999999999</v>
      </c>
      <c r="L52" s="14">
        <v>2.2690000000000001</v>
      </c>
      <c r="M52" s="5">
        <v>12249</v>
      </c>
      <c r="N52" s="15">
        <v>3147</v>
      </c>
      <c r="O52" s="18" t="s">
        <v>21</v>
      </c>
      <c r="P52" s="19" t="s">
        <v>21</v>
      </c>
      <c r="Q52" s="20" t="s">
        <v>21</v>
      </c>
    </row>
    <row r="53" spans="2:17" x14ac:dyDescent="0.3">
      <c r="B53" s="22" t="s">
        <v>13</v>
      </c>
      <c r="C53" s="7">
        <v>128</v>
      </c>
      <c r="D53" s="8">
        <v>34</v>
      </c>
      <c r="E53" s="9">
        <v>14.680899999999999</v>
      </c>
      <c r="F53" s="7">
        <v>5</v>
      </c>
      <c r="G53" s="9">
        <v>19.839700000000001</v>
      </c>
      <c r="H53" s="7">
        <v>19</v>
      </c>
      <c r="I53" s="9">
        <v>20.948699999999999</v>
      </c>
      <c r="J53" s="7">
        <v>18</v>
      </c>
      <c r="K53" s="9">
        <v>9.0780999999999992</v>
      </c>
      <c r="L53" s="16">
        <v>2.1993</v>
      </c>
      <c r="M53" s="8">
        <v>220</v>
      </c>
      <c r="N53" s="17">
        <v>27</v>
      </c>
      <c r="O53" s="16">
        <v>34.043599999999998</v>
      </c>
      <c r="P53" s="8">
        <v>65</v>
      </c>
      <c r="Q53" s="17">
        <v>27</v>
      </c>
    </row>
    <row r="54" spans="2:17" x14ac:dyDescent="0.3">
      <c r="B54" s="22" t="s">
        <v>14</v>
      </c>
      <c r="C54" s="7">
        <v>132</v>
      </c>
      <c r="D54" s="8">
        <v>94</v>
      </c>
      <c r="E54" s="9">
        <v>23.478200000000001</v>
      </c>
      <c r="F54" s="7">
        <v>38</v>
      </c>
      <c r="G54" s="9">
        <v>27.944299999999998</v>
      </c>
      <c r="H54" s="12">
        <v>0</v>
      </c>
      <c r="I54" s="13">
        <v>0</v>
      </c>
      <c r="J54" s="7">
        <v>56</v>
      </c>
      <c r="K54" s="9">
        <v>20.447600000000001</v>
      </c>
      <c r="L54" s="16">
        <v>4.8655999999999997</v>
      </c>
      <c r="M54" s="8">
        <v>386</v>
      </c>
      <c r="N54" s="17">
        <v>73</v>
      </c>
      <c r="O54" s="16">
        <v>7.4085999999999999</v>
      </c>
      <c r="P54" s="8">
        <v>122</v>
      </c>
      <c r="Q54" s="17">
        <v>9</v>
      </c>
    </row>
    <row r="55" spans="2:17" x14ac:dyDescent="0.3">
      <c r="B55" s="29" t="s">
        <v>15</v>
      </c>
      <c r="C55" s="30">
        <v>13860</v>
      </c>
      <c r="D55" s="31">
        <v>11106</v>
      </c>
      <c r="E55" s="32">
        <v>7.4154999999999998</v>
      </c>
      <c r="F55" s="30">
        <v>3524</v>
      </c>
      <c r="G55" s="32">
        <v>14.569599999999999</v>
      </c>
      <c r="H55" s="30">
        <v>708</v>
      </c>
      <c r="I55" s="32">
        <v>10.104900000000001</v>
      </c>
      <c r="J55" s="30">
        <v>7903</v>
      </c>
      <c r="K55" s="32">
        <v>4.1380999999999997</v>
      </c>
      <c r="L55" s="33">
        <v>2.0186000000000002</v>
      </c>
      <c r="M55" s="31">
        <v>43973</v>
      </c>
      <c r="N55" s="34">
        <v>2356</v>
      </c>
      <c r="O55" s="33">
        <v>2.0966999999999998</v>
      </c>
      <c r="P55" s="31">
        <v>13480</v>
      </c>
      <c r="Q55" s="35">
        <v>817</v>
      </c>
    </row>
    <row r="57" spans="2:17" x14ac:dyDescent="0.3">
      <c r="B57" s="38" t="s">
        <v>31</v>
      </c>
    </row>
    <row r="58" spans="2:17" s="1" customFormat="1" ht="43.2" x14ac:dyDescent="0.3">
      <c r="B58" s="2" t="s">
        <v>0</v>
      </c>
      <c r="C58" s="23" t="s">
        <v>1</v>
      </c>
      <c r="D58" s="23" t="s">
        <v>16</v>
      </c>
      <c r="E58" s="23" t="s">
        <v>17</v>
      </c>
      <c r="F58" s="24" t="s">
        <v>18</v>
      </c>
      <c r="G58" s="24" t="s">
        <v>2</v>
      </c>
      <c r="H58" s="26" t="s">
        <v>19</v>
      </c>
      <c r="I58" s="26" t="s">
        <v>3</v>
      </c>
      <c r="J58" s="27" t="s">
        <v>20</v>
      </c>
      <c r="K58" s="27" t="s">
        <v>4</v>
      </c>
      <c r="L58" s="25" t="s">
        <v>5</v>
      </c>
      <c r="M58" s="25" t="s">
        <v>6</v>
      </c>
      <c r="N58" s="25" t="s">
        <v>7</v>
      </c>
      <c r="O58" s="28" t="s">
        <v>8</v>
      </c>
      <c r="P58" s="28" t="s">
        <v>9</v>
      </c>
      <c r="Q58" s="28" t="s">
        <v>10</v>
      </c>
    </row>
    <row r="59" spans="2:17" x14ac:dyDescent="0.3">
      <c r="B59" s="21" t="s">
        <v>12</v>
      </c>
      <c r="C59" s="4">
        <v>3904</v>
      </c>
      <c r="D59" s="5">
        <v>2519</v>
      </c>
      <c r="E59" s="6">
        <v>9.4284999999999997</v>
      </c>
      <c r="F59" s="10" t="s">
        <v>21</v>
      </c>
      <c r="G59" s="11" t="s">
        <v>21</v>
      </c>
      <c r="H59" s="4">
        <v>2616</v>
      </c>
      <c r="I59" s="6">
        <v>9.0385000000000009</v>
      </c>
      <c r="J59" s="36">
        <v>52</v>
      </c>
      <c r="K59" s="37">
        <v>34.584200000000003</v>
      </c>
      <c r="L59" s="14">
        <v>2.4003000000000001</v>
      </c>
      <c r="M59" s="5">
        <v>12686</v>
      </c>
      <c r="N59" s="15">
        <v>3027</v>
      </c>
      <c r="O59" s="18" t="s">
        <v>21</v>
      </c>
      <c r="P59" s="19" t="s">
        <v>21</v>
      </c>
      <c r="Q59" s="20" t="s">
        <v>21</v>
      </c>
    </row>
    <row r="60" spans="2:17" x14ac:dyDescent="0.3">
      <c r="B60" s="22" t="s">
        <v>13</v>
      </c>
      <c r="C60" s="7">
        <v>186</v>
      </c>
      <c r="D60" s="8">
        <v>48</v>
      </c>
      <c r="E60" s="9">
        <v>15.06</v>
      </c>
      <c r="F60" s="7">
        <v>8</v>
      </c>
      <c r="G60" s="9">
        <v>13.6287</v>
      </c>
      <c r="H60" s="7">
        <v>15</v>
      </c>
      <c r="I60" s="9">
        <v>16.6816</v>
      </c>
      <c r="J60" s="7">
        <v>30</v>
      </c>
      <c r="K60" s="9">
        <v>12.615399999999999</v>
      </c>
      <c r="L60" s="16">
        <v>4.0557999999999996</v>
      </c>
      <c r="M60" s="8">
        <v>348</v>
      </c>
      <c r="N60" s="17">
        <v>38</v>
      </c>
      <c r="O60" s="16">
        <v>17.238700000000001</v>
      </c>
      <c r="P60" s="8">
        <v>103</v>
      </c>
      <c r="Q60" s="17">
        <v>29</v>
      </c>
    </row>
    <row r="61" spans="2:17" x14ac:dyDescent="0.3">
      <c r="B61" s="22" t="s">
        <v>14</v>
      </c>
      <c r="C61" s="7">
        <v>63</v>
      </c>
      <c r="D61" s="8">
        <v>96</v>
      </c>
      <c r="E61" s="9">
        <v>22.548500000000001</v>
      </c>
      <c r="F61" s="7">
        <v>46</v>
      </c>
      <c r="G61" s="9">
        <v>24.6325</v>
      </c>
      <c r="H61" s="12">
        <v>1</v>
      </c>
      <c r="I61" s="13">
        <v>9.0539000000000005</v>
      </c>
      <c r="J61" s="7">
        <v>50</v>
      </c>
      <c r="K61" s="9">
        <v>21.7455</v>
      </c>
      <c r="L61" s="16">
        <v>4.0216000000000003</v>
      </c>
      <c r="M61" s="8">
        <v>166</v>
      </c>
      <c r="N61" s="17">
        <v>13</v>
      </c>
      <c r="O61" s="16">
        <v>10.5298</v>
      </c>
      <c r="P61" s="8">
        <v>49</v>
      </c>
      <c r="Q61" s="17">
        <v>8</v>
      </c>
    </row>
    <row r="62" spans="2:17" x14ac:dyDescent="0.3">
      <c r="B62" s="29" t="s">
        <v>15</v>
      </c>
      <c r="C62" s="30">
        <v>13611</v>
      </c>
      <c r="D62" s="31">
        <v>10928</v>
      </c>
      <c r="E62" s="32">
        <v>9.0715000000000003</v>
      </c>
      <c r="F62" s="30">
        <v>2827</v>
      </c>
      <c r="G62" s="32">
        <v>16.619299999999999</v>
      </c>
      <c r="H62" s="30">
        <v>769</v>
      </c>
      <c r="I62" s="32">
        <v>9.2890999999999995</v>
      </c>
      <c r="J62" s="30">
        <v>8604</v>
      </c>
      <c r="K62" s="32">
        <v>5.8811</v>
      </c>
      <c r="L62" s="33">
        <v>2.1333000000000002</v>
      </c>
      <c r="M62" s="31">
        <v>42845</v>
      </c>
      <c r="N62" s="34">
        <v>2510</v>
      </c>
      <c r="O62" s="33">
        <v>1.1850000000000001</v>
      </c>
      <c r="P62" s="31">
        <v>13099</v>
      </c>
      <c r="Q62" s="35">
        <v>685</v>
      </c>
    </row>
    <row r="64" spans="2:17" x14ac:dyDescent="0.3">
      <c r="B64" s="38" t="s">
        <v>32</v>
      </c>
    </row>
    <row r="65" spans="2:17" s="1" customFormat="1" ht="43.2" x14ac:dyDescent="0.3">
      <c r="B65" s="2" t="s">
        <v>0</v>
      </c>
      <c r="C65" s="23" t="s">
        <v>1</v>
      </c>
      <c r="D65" s="23" t="s">
        <v>16</v>
      </c>
      <c r="E65" s="23" t="s">
        <v>17</v>
      </c>
      <c r="F65" s="24" t="s">
        <v>18</v>
      </c>
      <c r="G65" s="24" t="s">
        <v>2</v>
      </c>
      <c r="H65" s="26" t="s">
        <v>19</v>
      </c>
      <c r="I65" s="26" t="s">
        <v>3</v>
      </c>
      <c r="J65" s="27" t="s">
        <v>20</v>
      </c>
      <c r="K65" s="27" t="s">
        <v>4</v>
      </c>
      <c r="L65" s="25" t="s">
        <v>5</v>
      </c>
      <c r="M65" s="25" t="s">
        <v>6</v>
      </c>
      <c r="N65" s="25" t="s">
        <v>7</v>
      </c>
      <c r="O65" s="28" t="s">
        <v>8</v>
      </c>
      <c r="P65" s="28" t="s">
        <v>9</v>
      </c>
      <c r="Q65" s="28" t="s">
        <v>10</v>
      </c>
    </row>
    <row r="66" spans="2:17" x14ac:dyDescent="0.3">
      <c r="B66" s="21" t="s">
        <v>12</v>
      </c>
      <c r="C66" s="4">
        <v>3960</v>
      </c>
      <c r="D66" s="5">
        <v>2491</v>
      </c>
      <c r="E66" s="6">
        <v>8.8322000000000003</v>
      </c>
      <c r="F66" s="10" t="s">
        <v>21</v>
      </c>
      <c r="G66" s="11" t="s">
        <v>21</v>
      </c>
      <c r="H66" s="4">
        <v>2697</v>
      </c>
      <c r="I66" s="6">
        <v>8.6135999999999999</v>
      </c>
      <c r="J66" s="36">
        <v>55</v>
      </c>
      <c r="K66" s="37">
        <v>32.994</v>
      </c>
      <c r="L66" s="14">
        <v>2.1215999999999999</v>
      </c>
      <c r="M66" s="5">
        <v>12958</v>
      </c>
      <c r="N66" s="15">
        <v>3222</v>
      </c>
      <c r="O66" s="18" t="s">
        <v>21</v>
      </c>
      <c r="P66" s="19" t="s">
        <v>21</v>
      </c>
      <c r="Q66" s="20" t="s">
        <v>21</v>
      </c>
    </row>
    <row r="67" spans="2:17" x14ac:dyDescent="0.3">
      <c r="B67" s="22" t="s">
        <v>13</v>
      </c>
      <c r="C67" s="7">
        <v>297</v>
      </c>
      <c r="D67" s="8">
        <v>70</v>
      </c>
      <c r="E67" s="9">
        <v>38.747900000000001</v>
      </c>
      <c r="F67" s="7">
        <v>20</v>
      </c>
      <c r="G67" s="9">
        <v>48.658700000000003</v>
      </c>
      <c r="H67" s="7">
        <v>2</v>
      </c>
      <c r="I67" s="9">
        <v>10.458299999999999</v>
      </c>
      <c r="J67" s="7">
        <v>66</v>
      </c>
      <c r="K67" s="9">
        <v>27.6447</v>
      </c>
      <c r="L67" s="16">
        <v>2.5226000000000002</v>
      </c>
      <c r="M67" s="8">
        <v>499</v>
      </c>
      <c r="N67" s="17">
        <v>46</v>
      </c>
      <c r="O67" s="16">
        <v>15.4032</v>
      </c>
      <c r="P67" s="8">
        <v>142</v>
      </c>
      <c r="Q67" s="17">
        <v>51</v>
      </c>
    </row>
    <row r="68" spans="2:17" x14ac:dyDescent="0.3">
      <c r="B68" s="22" t="s">
        <v>14</v>
      </c>
      <c r="C68" s="7">
        <v>64</v>
      </c>
      <c r="D68" s="8">
        <v>60</v>
      </c>
      <c r="E68" s="9">
        <v>52.939500000000002</v>
      </c>
      <c r="F68" s="7">
        <v>22</v>
      </c>
      <c r="G68" s="9">
        <v>49.551699999999997</v>
      </c>
      <c r="H68" s="12">
        <v>0</v>
      </c>
      <c r="I68" s="13">
        <v>0</v>
      </c>
      <c r="J68" s="7">
        <v>38</v>
      </c>
      <c r="K68" s="9">
        <v>54.9009</v>
      </c>
      <c r="L68" s="16">
        <v>3.0015999999999998</v>
      </c>
      <c r="M68" s="8">
        <v>186</v>
      </c>
      <c r="N68" s="17">
        <v>15</v>
      </c>
      <c r="O68" s="16">
        <v>4.4843000000000002</v>
      </c>
      <c r="P68" s="8">
        <v>56</v>
      </c>
      <c r="Q68" s="17">
        <v>5</v>
      </c>
    </row>
    <row r="69" spans="2:17" x14ac:dyDescent="0.3">
      <c r="B69" s="29" t="s">
        <v>15</v>
      </c>
      <c r="C69" s="30">
        <v>19784</v>
      </c>
      <c r="D69" s="31">
        <v>14357</v>
      </c>
      <c r="E69" s="32">
        <v>6.9631999999999996</v>
      </c>
      <c r="F69" s="30">
        <v>3267</v>
      </c>
      <c r="G69" s="32">
        <v>15.650399999999999</v>
      </c>
      <c r="H69" s="30">
        <v>729</v>
      </c>
      <c r="I69" s="32">
        <v>8.0302000000000007</v>
      </c>
      <c r="J69" s="30">
        <v>13361</v>
      </c>
      <c r="K69" s="32">
        <v>4.8947000000000003</v>
      </c>
      <c r="L69" s="33">
        <v>1.9847999999999999</v>
      </c>
      <c r="M69" s="31">
        <v>61770</v>
      </c>
      <c r="N69" s="34">
        <v>3003</v>
      </c>
      <c r="O69" s="33">
        <v>1.3551</v>
      </c>
      <c r="P69" s="31">
        <v>19476</v>
      </c>
      <c r="Q69" s="35">
        <v>887</v>
      </c>
    </row>
    <row r="71" spans="2:17" x14ac:dyDescent="0.3">
      <c r="B71" s="38" t="s">
        <v>33</v>
      </c>
    </row>
    <row r="72" spans="2:17" s="1" customFormat="1" ht="43.2" x14ac:dyDescent="0.3">
      <c r="B72" s="2" t="s">
        <v>0</v>
      </c>
      <c r="C72" s="23" t="s">
        <v>1</v>
      </c>
      <c r="D72" s="23" t="s">
        <v>16</v>
      </c>
      <c r="E72" s="23" t="s">
        <v>17</v>
      </c>
      <c r="F72" s="24" t="s">
        <v>18</v>
      </c>
      <c r="G72" s="24" t="s">
        <v>2</v>
      </c>
      <c r="H72" s="26" t="s">
        <v>19</v>
      </c>
      <c r="I72" s="26" t="s">
        <v>3</v>
      </c>
      <c r="J72" s="27" t="s">
        <v>20</v>
      </c>
      <c r="K72" s="27" t="s">
        <v>4</v>
      </c>
      <c r="L72" s="25" t="s">
        <v>5</v>
      </c>
      <c r="M72" s="25" t="s">
        <v>6</v>
      </c>
      <c r="N72" s="25" t="s">
        <v>7</v>
      </c>
      <c r="O72" s="28" t="s">
        <v>8</v>
      </c>
      <c r="P72" s="28" t="s">
        <v>9</v>
      </c>
      <c r="Q72" s="28" t="s">
        <v>10</v>
      </c>
    </row>
    <row r="73" spans="2:17" x14ac:dyDescent="0.3">
      <c r="B73" s="21" t="s">
        <v>12</v>
      </c>
      <c r="C73" s="4">
        <v>3873</v>
      </c>
      <c r="D73" s="5">
        <v>2894</v>
      </c>
      <c r="E73" s="6">
        <v>11.520899999999999</v>
      </c>
      <c r="F73" s="10" t="s">
        <v>21</v>
      </c>
      <c r="G73" s="11" t="s">
        <v>21</v>
      </c>
      <c r="H73" s="4">
        <v>2953</v>
      </c>
      <c r="I73" s="6">
        <v>9.3165999999999993</v>
      </c>
      <c r="J73" s="36">
        <v>133</v>
      </c>
      <c r="K73" s="37">
        <v>56.638599999999997</v>
      </c>
      <c r="L73" s="14">
        <v>2.0541</v>
      </c>
      <c r="M73" s="5">
        <v>12616</v>
      </c>
      <c r="N73" s="15">
        <v>3009</v>
      </c>
      <c r="O73" s="18" t="s">
        <v>21</v>
      </c>
      <c r="P73" s="19" t="s">
        <v>21</v>
      </c>
      <c r="Q73" s="20" t="s">
        <v>21</v>
      </c>
    </row>
    <row r="74" spans="2:17" x14ac:dyDescent="0.3">
      <c r="B74" s="22" t="s">
        <v>13</v>
      </c>
      <c r="C74" s="7">
        <v>500</v>
      </c>
      <c r="D74" s="8">
        <v>132</v>
      </c>
      <c r="E74" s="9">
        <v>19.156199999999998</v>
      </c>
      <c r="F74" s="7">
        <v>38</v>
      </c>
      <c r="G74" s="9">
        <v>25.782699999999998</v>
      </c>
      <c r="H74" s="7">
        <v>29</v>
      </c>
      <c r="I74" s="9">
        <v>12.4793</v>
      </c>
      <c r="J74" s="7">
        <v>91</v>
      </c>
      <c r="K74" s="9">
        <v>15.6751</v>
      </c>
      <c r="L74" s="16">
        <v>1.6847000000000001</v>
      </c>
      <c r="M74" s="8">
        <v>678</v>
      </c>
      <c r="N74" s="17">
        <v>50</v>
      </c>
      <c r="O74" s="16">
        <v>4.0476000000000001</v>
      </c>
      <c r="P74" s="8">
        <v>244</v>
      </c>
      <c r="Q74" s="17">
        <v>50</v>
      </c>
    </row>
    <row r="75" spans="2:17" x14ac:dyDescent="0.3">
      <c r="B75" s="22" t="s">
        <v>14</v>
      </c>
      <c r="C75" s="7">
        <v>28</v>
      </c>
      <c r="D75" s="8">
        <v>26</v>
      </c>
      <c r="E75" s="9">
        <v>48.479599999999998</v>
      </c>
      <c r="F75" s="7">
        <v>14</v>
      </c>
      <c r="G75" s="9">
        <v>36.375799999999998</v>
      </c>
      <c r="H75" s="12">
        <v>0</v>
      </c>
      <c r="I75" s="13">
        <v>0</v>
      </c>
      <c r="J75" s="7">
        <v>12</v>
      </c>
      <c r="K75" s="9">
        <v>62.6008</v>
      </c>
      <c r="L75" s="16">
        <v>2.9533999999999998</v>
      </c>
      <c r="M75" s="8">
        <v>65</v>
      </c>
      <c r="N75" s="17">
        <v>2</v>
      </c>
      <c r="O75" s="16">
        <v>3.5636000000000001</v>
      </c>
      <c r="P75" s="8">
        <v>19</v>
      </c>
      <c r="Q75" s="17">
        <v>3</v>
      </c>
    </row>
    <row r="76" spans="2:17" x14ac:dyDescent="0.3">
      <c r="B76" s="29" t="s">
        <v>15</v>
      </c>
      <c r="C76" s="30">
        <v>14605</v>
      </c>
      <c r="D76" s="31">
        <v>13893</v>
      </c>
      <c r="E76" s="32">
        <v>12.664400000000001</v>
      </c>
      <c r="F76" s="30">
        <v>4109</v>
      </c>
      <c r="G76" s="32">
        <v>18.639099999999999</v>
      </c>
      <c r="H76" s="30">
        <v>966</v>
      </c>
      <c r="I76" s="32">
        <v>10.5185</v>
      </c>
      <c r="J76" s="30">
        <v>11690</v>
      </c>
      <c r="K76" s="32">
        <v>9.1813000000000002</v>
      </c>
      <c r="L76" s="33">
        <v>1.6536</v>
      </c>
      <c r="M76" s="31">
        <v>45047</v>
      </c>
      <c r="N76" s="34">
        <v>2230</v>
      </c>
      <c r="O76" s="33">
        <v>1.2295</v>
      </c>
      <c r="P76" s="31">
        <v>14126</v>
      </c>
      <c r="Q76" s="35">
        <v>692</v>
      </c>
    </row>
    <row r="78" spans="2:17" x14ac:dyDescent="0.3">
      <c r="B78" s="38" t="s">
        <v>34</v>
      </c>
    </row>
    <row r="79" spans="2:17" s="1" customFormat="1" ht="43.2" x14ac:dyDescent="0.3">
      <c r="B79" s="2" t="s">
        <v>0</v>
      </c>
      <c r="C79" s="23" t="s">
        <v>1</v>
      </c>
      <c r="D79" s="23" t="s">
        <v>16</v>
      </c>
      <c r="E79" s="23" t="s">
        <v>17</v>
      </c>
      <c r="F79" s="24" t="s">
        <v>18</v>
      </c>
      <c r="G79" s="24" t="s">
        <v>2</v>
      </c>
      <c r="H79" s="26" t="s">
        <v>19</v>
      </c>
      <c r="I79" s="26" t="s">
        <v>3</v>
      </c>
      <c r="J79" s="27" t="s">
        <v>20</v>
      </c>
      <c r="K79" s="27" t="s">
        <v>4</v>
      </c>
      <c r="L79" s="25" t="s">
        <v>5</v>
      </c>
      <c r="M79" s="25" t="s">
        <v>6</v>
      </c>
      <c r="N79" s="25" t="s">
        <v>7</v>
      </c>
      <c r="O79" s="28" t="s">
        <v>8</v>
      </c>
      <c r="P79" s="28" t="s">
        <v>9</v>
      </c>
      <c r="Q79" s="28" t="s">
        <v>10</v>
      </c>
    </row>
    <row r="80" spans="2:17" x14ac:dyDescent="0.3">
      <c r="B80" s="21" t="s">
        <v>12</v>
      </c>
      <c r="C80" s="4">
        <v>3699</v>
      </c>
      <c r="D80" s="5">
        <v>2355</v>
      </c>
      <c r="E80" s="6">
        <v>8.2739999999999991</v>
      </c>
      <c r="F80" s="10" t="s">
        <v>21</v>
      </c>
      <c r="G80" s="11" t="s">
        <v>21</v>
      </c>
      <c r="H80" s="4">
        <v>2632</v>
      </c>
      <c r="I80" s="6">
        <v>7.9501999999999997</v>
      </c>
      <c r="J80" s="36">
        <v>15</v>
      </c>
      <c r="K80" s="37">
        <v>48.792400000000001</v>
      </c>
      <c r="L80" s="14">
        <v>1.9392</v>
      </c>
      <c r="M80" s="5">
        <v>11718</v>
      </c>
      <c r="N80" s="15">
        <v>2767</v>
      </c>
      <c r="O80" s="18" t="s">
        <v>21</v>
      </c>
      <c r="P80" s="19" t="s">
        <v>21</v>
      </c>
      <c r="Q80" s="20" t="s">
        <v>21</v>
      </c>
    </row>
    <row r="81" spans="2:17" x14ac:dyDescent="0.3">
      <c r="B81" s="22" t="s">
        <v>13</v>
      </c>
      <c r="C81" s="7">
        <v>507</v>
      </c>
      <c r="D81" s="8">
        <v>278</v>
      </c>
      <c r="E81" s="9">
        <v>60.996000000000002</v>
      </c>
      <c r="F81" s="7">
        <v>92</v>
      </c>
      <c r="G81" s="9">
        <v>84.712599999999995</v>
      </c>
      <c r="H81" s="7">
        <v>46</v>
      </c>
      <c r="I81" s="9">
        <v>35.897399999999998</v>
      </c>
      <c r="J81" s="7">
        <v>196</v>
      </c>
      <c r="K81" s="9">
        <v>44.868200000000002</v>
      </c>
      <c r="L81" s="16">
        <v>1.9246000000000001</v>
      </c>
      <c r="M81" s="8">
        <v>762</v>
      </c>
      <c r="N81" s="17">
        <v>51</v>
      </c>
      <c r="O81" s="16">
        <v>2.9283999999999999</v>
      </c>
      <c r="P81" s="8">
        <v>210</v>
      </c>
      <c r="Q81" s="17">
        <v>22</v>
      </c>
    </row>
    <row r="82" spans="2:17" x14ac:dyDescent="0.3">
      <c r="B82" s="22" t="s">
        <v>14</v>
      </c>
      <c r="C82" s="7">
        <v>63</v>
      </c>
      <c r="D82" s="8">
        <v>65</v>
      </c>
      <c r="E82" s="9">
        <v>117.98309999999999</v>
      </c>
      <c r="F82" s="7">
        <v>29</v>
      </c>
      <c r="G82" s="9">
        <v>107.9986</v>
      </c>
      <c r="H82" s="12">
        <v>0</v>
      </c>
      <c r="I82" s="13">
        <v>0</v>
      </c>
      <c r="J82" s="7">
        <v>38</v>
      </c>
      <c r="K82" s="9">
        <v>120.1972</v>
      </c>
      <c r="L82" s="16">
        <v>1.6515</v>
      </c>
      <c r="M82" s="8">
        <v>143</v>
      </c>
      <c r="N82" s="17">
        <v>7</v>
      </c>
      <c r="O82" s="16">
        <v>3.9721000000000002</v>
      </c>
      <c r="P82" s="8">
        <v>41</v>
      </c>
      <c r="Q82" s="17">
        <v>5</v>
      </c>
    </row>
    <row r="83" spans="2:17" x14ac:dyDescent="0.3">
      <c r="B83" s="29" t="s">
        <v>15</v>
      </c>
      <c r="C83" s="30">
        <v>18701</v>
      </c>
      <c r="D83" s="31">
        <v>13346</v>
      </c>
      <c r="E83" s="32">
        <v>11.7636</v>
      </c>
      <c r="F83" s="30">
        <v>3655</v>
      </c>
      <c r="G83" s="32">
        <v>18.265499999999999</v>
      </c>
      <c r="H83" s="30">
        <v>900</v>
      </c>
      <c r="I83" s="32">
        <v>11.252000000000001</v>
      </c>
      <c r="J83" s="30">
        <v>13175</v>
      </c>
      <c r="K83" s="32">
        <v>9.9807000000000006</v>
      </c>
      <c r="L83" s="33">
        <v>2.0608</v>
      </c>
      <c r="M83" s="31">
        <v>57043</v>
      </c>
      <c r="N83" s="34">
        <v>3974</v>
      </c>
      <c r="O83" s="33">
        <v>0.84560000000000002</v>
      </c>
      <c r="P83" s="31">
        <v>17863</v>
      </c>
      <c r="Q83" s="35">
        <v>556</v>
      </c>
    </row>
    <row r="85" spans="2:17" x14ac:dyDescent="0.3">
      <c r="B85" s="38" t="s">
        <v>35</v>
      </c>
    </row>
    <row r="86" spans="2:17" s="1" customFormat="1" ht="43.2" x14ac:dyDescent="0.3">
      <c r="B86" s="2" t="s">
        <v>0</v>
      </c>
      <c r="C86" s="23" t="s">
        <v>1</v>
      </c>
      <c r="D86" s="23" t="s">
        <v>16</v>
      </c>
      <c r="E86" s="23" t="s">
        <v>17</v>
      </c>
      <c r="F86" s="24" t="s">
        <v>18</v>
      </c>
      <c r="G86" s="24" t="s">
        <v>2</v>
      </c>
      <c r="H86" s="26" t="s">
        <v>19</v>
      </c>
      <c r="I86" s="26" t="s">
        <v>3</v>
      </c>
      <c r="J86" s="27" t="s">
        <v>20</v>
      </c>
      <c r="K86" s="27" t="s">
        <v>4</v>
      </c>
      <c r="L86" s="25" t="s">
        <v>5</v>
      </c>
      <c r="M86" s="25" t="s">
        <v>6</v>
      </c>
      <c r="N86" s="25" t="s">
        <v>7</v>
      </c>
      <c r="O86" s="28" t="s">
        <v>8</v>
      </c>
      <c r="P86" s="28" t="s">
        <v>9</v>
      </c>
      <c r="Q86" s="28" t="s">
        <v>10</v>
      </c>
    </row>
    <row r="87" spans="2:17" x14ac:dyDescent="0.3">
      <c r="B87" s="21" t="s">
        <v>12</v>
      </c>
      <c r="C87" s="4">
        <v>3495</v>
      </c>
      <c r="D87" s="5">
        <v>2162</v>
      </c>
      <c r="E87" s="6">
        <v>8.2815999999999992</v>
      </c>
      <c r="F87" s="10" t="s">
        <v>21</v>
      </c>
      <c r="G87" s="11" t="s">
        <v>21</v>
      </c>
      <c r="H87" s="4">
        <v>2679</v>
      </c>
      <c r="I87" s="6">
        <v>8.0678000000000001</v>
      </c>
      <c r="J87" s="36">
        <v>8</v>
      </c>
      <c r="K87" s="37">
        <v>24.460100000000001</v>
      </c>
      <c r="L87" s="14">
        <v>1.9896</v>
      </c>
      <c r="M87" s="5">
        <v>10487</v>
      </c>
      <c r="N87" s="15">
        <v>2277</v>
      </c>
      <c r="O87" s="18" t="s">
        <v>21</v>
      </c>
      <c r="P87" s="19" t="s">
        <v>21</v>
      </c>
      <c r="Q87" s="20" t="s">
        <v>21</v>
      </c>
    </row>
    <row r="88" spans="2:17" x14ac:dyDescent="0.3">
      <c r="B88" s="22" t="s">
        <v>13</v>
      </c>
      <c r="C88" s="7">
        <v>929</v>
      </c>
      <c r="D88" s="8">
        <v>148</v>
      </c>
      <c r="E88" s="9">
        <v>10.8413</v>
      </c>
      <c r="F88" s="7">
        <v>62</v>
      </c>
      <c r="G88" s="9">
        <v>23.7653</v>
      </c>
      <c r="H88" s="7">
        <v>22</v>
      </c>
      <c r="I88" s="9">
        <v>35.498800000000003</v>
      </c>
      <c r="J88" s="7">
        <v>197</v>
      </c>
      <c r="K88" s="9">
        <v>7.3457999999999997</v>
      </c>
      <c r="L88" s="16">
        <v>0.85760000000000003</v>
      </c>
      <c r="M88" s="8">
        <v>697</v>
      </c>
      <c r="N88" s="17">
        <v>27</v>
      </c>
      <c r="O88" s="16">
        <v>0.67320000000000002</v>
      </c>
      <c r="P88" s="8">
        <v>239</v>
      </c>
      <c r="Q88" s="17">
        <v>6</v>
      </c>
    </row>
    <row r="89" spans="2:17" x14ac:dyDescent="0.3">
      <c r="B89" s="22" t="s">
        <v>14</v>
      </c>
      <c r="C89" s="7">
        <v>40</v>
      </c>
      <c r="D89" s="8">
        <v>36</v>
      </c>
      <c r="E89" s="9">
        <v>18.8566</v>
      </c>
      <c r="F89" s="7">
        <v>8</v>
      </c>
      <c r="G89" s="9">
        <v>23.703900000000001</v>
      </c>
      <c r="H89" s="12">
        <v>0</v>
      </c>
      <c r="I89" s="13">
        <v>0</v>
      </c>
      <c r="J89" s="7">
        <v>29</v>
      </c>
      <c r="K89" s="9">
        <v>16.874400000000001</v>
      </c>
      <c r="L89" s="16">
        <v>1.0771999999999999</v>
      </c>
      <c r="M89" s="8">
        <v>95</v>
      </c>
      <c r="N89" s="17">
        <v>4</v>
      </c>
      <c r="O89" s="16">
        <v>0.50519999999999998</v>
      </c>
      <c r="P89" s="8">
        <v>37</v>
      </c>
      <c r="Q89" s="17">
        <v>1</v>
      </c>
    </row>
    <row r="90" spans="2:17" x14ac:dyDescent="0.3">
      <c r="B90" s="29" t="s">
        <v>15</v>
      </c>
      <c r="C90" s="30">
        <v>38411</v>
      </c>
      <c r="D90" s="31">
        <v>21868</v>
      </c>
      <c r="E90" s="32">
        <v>6.9253999999999998</v>
      </c>
      <c r="F90" s="30">
        <v>5770</v>
      </c>
      <c r="G90" s="32">
        <v>16.9695</v>
      </c>
      <c r="H90" s="30">
        <v>631</v>
      </c>
      <c r="I90" s="32">
        <v>10.9588</v>
      </c>
      <c r="J90" s="30">
        <v>24429</v>
      </c>
      <c r="K90" s="32">
        <v>6.2172000000000001</v>
      </c>
      <c r="L90" s="33">
        <v>0.93779999999999997</v>
      </c>
      <c r="M90" s="31">
        <v>100467</v>
      </c>
      <c r="N90" s="34">
        <v>1839</v>
      </c>
      <c r="O90" s="33">
        <v>0.38279999999999997</v>
      </c>
      <c r="P90" s="31">
        <v>37291</v>
      </c>
      <c r="Q90" s="35">
        <v>252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R90"/>
  <sheetViews>
    <sheetView showGridLines="0" workbookViewId="0">
      <selection activeCell="B2" sqref="B2"/>
    </sheetView>
  </sheetViews>
  <sheetFormatPr defaultRowHeight="14.4" x14ac:dyDescent="0.3"/>
  <cols>
    <col min="1" max="1" width="2.5546875" customWidth="1"/>
    <col min="2" max="2" width="27" bestFit="1" customWidth="1"/>
    <col min="3" max="3" width="8.21875" bestFit="1" customWidth="1"/>
    <col min="4" max="4" width="12" bestFit="1" customWidth="1"/>
    <col min="5" max="5" width="13.44140625" bestFit="1" customWidth="1"/>
    <col min="6" max="6" width="22" bestFit="1" customWidth="1"/>
    <col min="7" max="7" width="13.77734375" bestFit="1" customWidth="1"/>
    <col min="8" max="8" width="19.5546875" bestFit="1" customWidth="1"/>
    <col min="9" max="9" width="13.77734375" bestFit="1" customWidth="1"/>
    <col min="10" max="10" width="19.5546875" bestFit="1" customWidth="1"/>
    <col min="11" max="12" width="13.44140625" bestFit="1" customWidth="1"/>
    <col min="13" max="13" width="11" bestFit="1" customWidth="1"/>
    <col min="14" max="14" width="9.5546875" bestFit="1" customWidth="1"/>
    <col min="15" max="15" width="13.77734375" bestFit="1" customWidth="1"/>
    <col min="16" max="17" width="11.21875" bestFit="1" customWidth="1"/>
    <col min="18" max="18" width="1.44140625" bestFit="1" customWidth="1"/>
  </cols>
  <sheetData>
    <row r="6" spans="2:18" x14ac:dyDescent="0.3">
      <c r="B6" s="39" t="s">
        <v>22</v>
      </c>
    </row>
    <row r="7" spans="2:18" x14ac:dyDescent="0.3">
      <c r="B7" s="3"/>
    </row>
    <row r="8" spans="2:18" x14ac:dyDescent="0.3">
      <c r="B8" s="38" t="s">
        <v>24</v>
      </c>
    </row>
    <row r="9" spans="2:18" s="1" customFormat="1" ht="43.2" x14ac:dyDescent="0.3">
      <c r="B9" s="2" t="s">
        <v>0</v>
      </c>
      <c r="C9" s="23" t="s">
        <v>1</v>
      </c>
      <c r="D9" s="23" t="s">
        <v>16</v>
      </c>
      <c r="E9" s="23" t="s">
        <v>17</v>
      </c>
      <c r="F9" s="24" t="s">
        <v>18</v>
      </c>
      <c r="G9" s="24" t="s">
        <v>2</v>
      </c>
      <c r="H9" s="26" t="s">
        <v>19</v>
      </c>
      <c r="I9" s="26" t="s">
        <v>3</v>
      </c>
      <c r="J9" s="27" t="s">
        <v>20</v>
      </c>
      <c r="K9" s="27" t="s">
        <v>4</v>
      </c>
      <c r="L9" s="25" t="s">
        <v>5</v>
      </c>
      <c r="M9" s="25" t="s">
        <v>6</v>
      </c>
      <c r="N9" s="25" t="s">
        <v>7</v>
      </c>
      <c r="O9" s="28" t="s">
        <v>8</v>
      </c>
      <c r="P9" s="28" t="s">
        <v>9</v>
      </c>
      <c r="Q9" s="28" t="s">
        <v>10</v>
      </c>
    </row>
    <row r="10" spans="2:18" x14ac:dyDescent="0.3">
      <c r="B10" s="21" t="s">
        <v>12</v>
      </c>
      <c r="C10" s="4">
        <v>7566</v>
      </c>
      <c r="D10" s="5">
        <v>3672</v>
      </c>
      <c r="E10" s="6">
        <v>10.054</v>
      </c>
      <c r="F10" s="10" t="s">
        <v>21</v>
      </c>
      <c r="G10" s="11" t="s">
        <v>21</v>
      </c>
      <c r="H10" s="4">
        <v>4324</v>
      </c>
      <c r="I10" s="6">
        <v>9.3391999999999999</v>
      </c>
      <c r="J10" s="4">
        <v>27</v>
      </c>
      <c r="K10" s="6">
        <v>26.7318</v>
      </c>
      <c r="L10" s="14">
        <v>2.2223999999999999</v>
      </c>
      <c r="M10" s="5">
        <v>23249</v>
      </c>
      <c r="N10" s="15">
        <v>5105</v>
      </c>
      <c r="O10" s="18" t="s">
        <v>21</v>
      </c>
      <c r="P10" s="19" t="s">
        <v>21</v>
      </c>
      <c r="Q10" s="20" t="s">
        <v>21</v>
      </c>
    </row>
    <row r="11" spans="2:18" x14ac:dyDescent="0.3">
      <c r="B11" s="22" t="s">
        <v>13</v>
      </c>
      <c r="C11" s="7">
        <v>1198</v>
      </c>
      <c r="D11" s="8">
        <v>238</v>
      </c>
      <c r="E11" s="9">
        <v>19.593599999999999</v>
      </c>
      <c r="F11" s="7">
        <v>78</v>
      </c>
      <c r="G11" s="9">
        <v>26.1616</v>
      </c>
      <c r="H11" s="7">
        <v>50</v>
      </c>
      <c r="I11" s="9">
        <v>26.7364</v>
      </c>
      <c r="J11" s="7">
        <v>251</v>
      </c>
      <c r="K11" s="9">
        <v>14.1927</v>
      </c>
      <c r="L11" s="16">
        <v>2.2915000000000001</v>
      </c>
      <c r="M11" s="8">
        <v>1022</v>
      </c>
      <c r="N11" s="17">
        <v>63</v>
      </c>
      <c r="O11" s="16">
        <v>1.7754000000000001</v>
      </c>
      <c r="P11" s="8">
        <v>291</v>
      </c>
      <c r="Q11" s="17">
        <v>19</v>
      </c>
      <c r="R11" t="s">
        <v>11</v>
      </c>
    </row>
    <row r="12" spans="2:18" x14ac:dyDescent="0.3">
      <c r="B12" s="22" t="s">
        <v>14</v>
      </c>
      <c r="C12" s="7">
        <v>29</v>
      </c>
      <c r="D12" s="8">
        <v>21</v>
      </c>
      <c r="E12" s="9">
        <v>18.322600000000001</v>
      </c>
      <c r="F12" s="7">
        <v>5</v>
      </c>
      <c r="G12" s="9">
        <v>13.718500000000001</v>
      </c>
      <c r="H12" s="12">
        <v>0</v>
      </c>
      <c r="I12" s="13">
        <v>0</v>
      </c>
      <c r="J12" s="7">
        <v>17</v>
      </c>
      <c r="K12" s="9">
        <v>18.607900000000001</v>
      </c>
      <c r="L12" s="16">
        <v>2.5177</v>
      </c>
      <c r="M12" s="8">
        <v>78</v>
      </c>
      <c r="N12" s="17">
        <v>6</v>
      </c>
      <c r="O12" s="16">
        <v>0.158</v>
      </c>
      <c r="P12" s="8">
        <v>26</v>
      </c>
      <c r="Q12" s="17">
        <v>0</v>
      </c>
      <c r="R12" t="s">
        <v>11</v>
      </c>
    </row>
    <row r="13" spans="2:18" x14ac:dyDescent="0.3">
      <c r="B13" s="29" t="s">
        <v>15</v>
      </c>
      <c r="C13" s="30">
        <v>50294</v>
      </c>
      <c r="D13" s="31">
        <v>43591</v>
      </c>
      <c r="E13" s="32">
        <v>11.7895</v>
      </c>
      <c r="F13" s="30">
        <v>12430</v>
      </c>
      <c r="G13" s="32">
        <v>18.780200000000001</v>
      </c>
      <c r="H13" s="30">
        <v>1198</v>
      </c>
      <c r="I13" s="32">
        <v>15.619899999999999</v>
      </c>
      <c r="J13" s="30">
        <v>39745</v>
      </c>
      <c r="K13" s="32">
        <v>9.8268000000000004</v>
      </c>
      <c r="L13" s="33">
        <v>2.0097999999999998</v>
      </c>
      <c r="M13" s="31">
        <v>150407</v>
      </c>
      <c r="N13" s="34">
        <v>5805</v>
      </c>
      <c r="O13" s="33">
        <v>1.7886</v>
      </c>
      <c r="P13" s="31">
        <v>49803</v>
      </c>
      <c r="Q13" s="35">
        <v>3741</v>
      </c>
      <c r="R13" t="s">
        <v>11</v>
      </c>
    </row>
    <row r="15" spans="2:18" x14ac:dyDescent="0.3">
      <c r="B15" s="38" t="s">
        <v>25</v>
      </c>
    </row>
    <row r="16" spans="2:18" s="1" customFormat="1" ht="43.2" x14ac:dyDescent="0.3">
      <c r="B16" s="2" t="s">
        <v>0</v>
      </c>
      <c r="C16" s="23" t="s">
        <v>1</v>
      </c>
      <c r="D16" s="23" t="s">
        <v>16</v>
      </c>
      <c r="E16" s="23" t="s">
        <v>17</v>
      </c>
      <c r="F16" s="24" t="s">
        <v>18</v>
      </c>
      <c r="G16" s="24" t="s">
        <v>2</v>
      </c>
      <c r="H16" s="26" t="s">
        <v>19</v>
      </c>
      <c r="I16" s="26" t="s">
        <v>3</v>
      </c>
      <c r="J16" s="27" t="s">
        <v>20</v>
      </c>
      <c r="K16" s="27" t="s">
        <v>4</v>
      </c>
      <c r="L16" s="25" t="s">
        <v>5</v>
      </c>
      <c r="M16" s="25" t="s">
        <v>6</v>
      </c>
      <c r="N16" s="25" t="s">
        <v>7</v>
      </c>
      <c r="O16" s="28" t="s">
        <v>8</v>
      </c>
      <c r="P16" s="28" t="s">
        <v>9</v>
      </c>
      <c r="Q16" s="28" t="s">
        <v>10</v>
      </c>
    </row>
    <row r="17" spans="2:18" x14ac:dyDescent="0.3">
      <c r="B17" s="21" t="s">
        <v>12</v>
      </c>
      <c r="C17" s="4">
        <v>8970</v>
      </c>
      <c r="D17" s="5">
        <v>5313</v>
      </c>
      <c r="E17" s="6">
        <v>11.99</v>
      </c>
      <c r="F17" s="10" t="s">
        <v>21</v>
      </c>
      <c r="G17" s="11" t="s">
        <v>21</v>
      </c>
      <c r="H17" s="4">
        <v>6059</v>
      </c>
      <c r="I17" s="6">
        <v>11.3622</v>
      </c>
      <c r="J17" s="4">
        <v>45</v>
      </c>
      <c r="K17" s="6">
        <v>5.0239000000000003</v>
      </c>
      <c r="L17" s="14">
        <v>2.1793</v>
      </c>
      <c r="M17" s="5">
        <v>27416</v>
      </c>
      <c r="N17" s="15">
        <v>5408</v>
      </c>
      <c r="O17" s="18" t="s">
        <v>21</v>
      </c>
      <c r="P17" s="19" t="s">
        <v>21</v>
      </c>
      <c r="Q17" s="20" t="s">
        <v>21</v>
      </c>
    </row>
    <row r="18" spans="2:18" x14ac:dyDescent="0.3">
      <c r="B18" s="22" t="s">
        <v>13</v>
      </c>
      <c r="C18" s="7">
        <v>1480</v>
      </c>
      <c r="D18" s="8">
        <v>315</v>
      </c>
      <c r="E18" s="9">
        <v>20.274000000000001</v>
      </c>
      <c r="F18" s="7">
        <v>147</v>
      </c>
      <c r="G18" s="9">
        <v>24.742999999999999</v>
      </c>
      <c r="H18" s="7">
        <v>38</v>
      </c>
      <c r="I18" s="9">
        <v>31.246099999999998</v>
      </c>
      <c r="J18" s="7">
        <v>462</v>
      </c>
      <c r="K18" s="9">
        <v>8.0650999999999993</v>
      </c>
      <c r="L18" s="16">
        <v>2.1619999999999999</v>
      </c>
      <c r="M18" s="8">
        <v>2148</v>
      </c>
      <c r="N18" s="17">
        <v>78</v>
      </c>
      <c r="O18" s="16">
        <v>0.32929999999999998</v>
      </c>
      <c r="P18" s="8">
        <v>639</v>
      </c>
      <c r="Q18" s="17">
        <v>5</v>
      </c>
    </row>
    <row r="19" spans="2:18" x14ac:dyDescent="0.3">
      <c r="B19" s="22" t="s">
        <v>14</v>
      </c>
      <c r="C19" s="7">
        <v>16</v>
      </c>
      <c r="D19" s="8">
        <v>11</v>
      </c>
      <c r="E19" s="9">
        <v>36.658499999999997</v>
      </c>
      <c r="F19" s="7">
        <v>2</v>
      </c>
      <c r="G19" s="9">
        <v>6.3810000000000002</v>
      </c>
      <c r="H19" s="12">
        <v>0</v>
      </c>
      <c r="I19" s="13">
        <v>0</v>
      </c>
      <c r="J19" s="7">
        <v>13</v>
      </c>
      <c r="K19" s="9">
        <v>30.087199999999999</v>
      </c>
      <c r="L19" s="16">
        <v>1.2967</v>
      </c>
      <c r="M19" s="8">
        <v>44</v>
      </c>
      <c r="N19" s="17">
        <v>0</v>
      </c>
      <c r="O19" s="16">
        <v>6.7299999999999999E-2</v>
      </c>
      <c r="P19" s="8">
        <v>14</v>
      </c>
      <c r="Q19" s="17">
        <v>0</v>
      </c>
    </row>
    <row r="20" spans="2:18" x14ac:dyDescent="0.3">
      <c r="B20" s="29" t="s">
        <v>15</v>
      </c>
      <c r="C20" s="30">
        <v>51348</v>
      </c>
      <c r="D20" s="31">
        <v>42220</v>
      </c>
      <c r="E20" s="32">
        <v>10.4596</v>
      </c>
      <c r="F20" s="30">
        <v>13437</v>
      </c>
      <c r="G20" s="32">
        <v>19.388200000000001</v>
      </c>
      <c r="H20" s="30">
        <v>778</v>
      </c>
      <c r="I20" s="32">
        <v>11.793900000000001</v>
      </c>
      <c r="J20" s="30">
        <v>36814</v>
      </c>
      <c r="K20" s="32">
        <v>7.7004000000000001</v>
      </c>
      <c r="L20" s="33">
        <v>1.8404</v>
      </c>
      <c r="M20" s="31">
        <v>152964</v>
      </c>
      <c r="N20" s="34">
        <v>4311</v>
      </c>
      <c r="O20" s="33">
        <v>1.0909</v>
      </c>
      <c r="P20" s="31">
        <v>48643</v>
      </c>
      <c r="Q20" s="35">
        <v>1400</v>
      </c>
    </row>
    <row r="22" spans="2:18" x14ac:dyDescent="0.3">
      <c r="B22" s="38" t="s">
        <v>26</v>
      </c>
    </row>
    <row r="23" spans="2:18" s="1" customFormat="1" ht="43.2" x14ac:dyDescent="0.3">
      <c r="B23" s="2" t="s">
        <v>0</v>
      </c>
      <c r="C23" s="23" t="s">
        <v>1</v>
      </c>
      <c r="D23" s="23" t="s">
        <v>16</v>
      </c>
      <c r="E23" s="23" t="s">
        <v>17</v>
      </c>
      <c r="F23" s="24" t="s">
        <v>18</v>
      </c>
      <c r="G23" s="24" t="s">
        <v>2</v>
      </c>
      <c r="H23" s="26" t="s">
        <v>19</v>
      </c>
      <c r="I23" s="26" t="s">
        <v>3</v>
      </c>
      <c r="J23" s="27" t="s">
        <v>20</v>
      </c>
      <c r="K23" s="27" t="s">
        <v>4</v>
      </c>
      <c r="L23" s="25" t="s">
        <v>5</v>
      </c>
      <c r="M23" s="25" t="s">
        <v>6</v>
      </c>
      <c r="N23" s="25" t="s">
        <v>7</v>
      </c>
      <c r="O23" s="28" t="s">
        <v>8</v>
      </c>
      <c r="P23" s="28" t="s">
        <v>9</v>
      </c>
      <c r="Q23" s="28" t="s">
        <v>10</v>
      </c>
    </row>
    <row r="24" spans="2:18" x14ac:dyDescent="0.3">
      <c r="B24" s="21" t="s">
        <v>12</v>
      </c>
      <c r="C24" s="4">
        <v>9075</v>
      </c>
      <c r="D24" s="5">
        <v>5826</v>
      </c>
      <c r="E24" s="6">
        <v>13.5806</v>
      </c>
      <c r="F24" s="10" t="s">
        <v>21</v>
      </c>
      <c r="G24" s="11" t="s">
        <v>21</v>
      </c>
      <c r="H24" s="4">
        <v>6517</v>
      </c>
      <c r="I24" s="6">
        <v>10.048</v>
      </c>
      <c r="J24" s="4">
        <v>249</v>
      </c>
      <c r="K24" s="6">
        <v>83.4876</v>
      </c>
      <c r="L24" s="14">
        <v>1.8836999999999999</v>
      </c>
      <c r="M24" s="5">
        <v>27289</v>
      </c>
      <c r="N24" s="15">
        <v>4297</v>
      </c>
      <c r="O24" s="18" t="s">
        <v>21</v>
      </c>
      <c r="P24" s="19" t="s">
        <v>21</v>
      </c>
      <c r="Q24" s="20" t="s">
        <v>21</v>
      </c>
    </row>
    <row r="25" spans="2:18" x14ac:dyDescent="0.3">
      <c r="B25" s="22" t="s">
        <v>13</v>
      </c>
      <c r="C25" s="7">
        <v>2182</v>
      </c>
      <c r="D25" s="8">
        <v>1001</v>
      </c>
      <c r="E25" s="9">
        <v>12.9796</v>
      </c>
      <c r="F25" s="7">
        <v>311</v>
      </c>
      <c r="G25" s="9">
        <v>20.707100000000001</v>
      </c>
      <c r="H25" s="7">
        <v>34</v>
      </c>
      <c r="I25" s="9">
        <v>33.624099999999999</v>
      </c>
      <c r="J25" s="7">
        <v>1153</v>
      </c>
      <c r="K25" s="9">
        <v>7.4184000000000001</v>
      </c>
      <c r="L25" s="16">
        <v>1.121</v>
      </c>
      <c r="M25" s="8">
        <v>4314</v>
      </c>
      <c r="N25" s="17">
        <v>98</v>
      </c>
      <c r="O25" s="16">
        <v>0.1855</v>
      </c>
      <c r="P25" s="8">
        <v>1338</v>
      </c>
      <c r="Q25" s="17">
        <v>4</v>
      </c>
    </row>
    <row r="26" spans="2:18" x14ac:dyDescent="0.3">
      <c r="B26" s="22" t="s">
        <v>14</v>
      </c>
      <c r="C26" s="7">
        <v>14</v>
      </c>
      <c r="D26" s="8">
        <v>8</v>
      </c>
      <c r="E26" s="9">
        <v>40.850900000000003</v>
      </c>
      <c r="F26" s="7">
        <v>4</v>
      </c>
      <c r="G26" s="9">
        <v>64.872</v>
      </c>
      <c r="H26" s="12">
        <v>0</v>
      </c>
      <c r="I26" s="13">
        <v>0</v>
      </c>
      <c r="J26" s="7">
        <v>10</v>
      </c>
      <c r="K26" s="9">
        <v>9.0006000000000004</v>
      </c>
      <c r="L26" s="16">
        <v>1.9818</v>
      </c>
      <c r="M26" s="8">
        <v>38</v>
      </c>
      <c r="N26" s="17">
        <v>4</v>
      </c>
      <c r="O26" s="16">
        <v>5.62E-2</v>
      </c>
      <c r="P26" s="8">
        <v>12</v>
      </c>
      <c r="Q26" s="17">
        <v>0</v>
      </c>
    </row>
    <row r="27" spans="2:18" x14ac:dyDescent="0.3">
      <c r="B27" s="29" t="s">
        <v>15</v>
      </c>
      <c r="C27" s="30">
        <v>37179</v>
      </c>
      <c r="D27" s="31">
        <v>34935</v>
      </c>
      <c r="E27" s="32">
        <v>12.392799999999999</v>
      </c>
      <c r="F27" s="30">
        <v>13737</v>
      </c>
      <c r="G27" s="32">
        <v>19.6524</v>
      </c>
      <c r="H27" s="30">
        <v>1089</v>
      </c>
      <c r="I27" s="32">
        <v>17.3264</v>
      </c>
      <c r="J27" s="30">
        <v>28729</v>
      </c>
      <c r="K27" s="32">
        <v>9.0785999999999998</v>
      </c>
      <c r="L27" s="33">
        <v>1.1437999999999999</v>
      </c>
      <c r="M27" s="31">
        <v>104139</v>
      </c>
      <c r="N27" s="34">
        <v>2344</v>
      </c>
      <c r="O27" s="33">
        <v>0.6149</v>
      </c>
      <c r="P27" s="31">
        <v>33903</v>
      </c>
      <c r="Q27" s="35">
        <v>589</v>
      </c>
    </row>
    <row r="29" spans="2:18" x14ac:dyDescent="0.3">
      <c r="B29" s="38" t="s">
        <v>27</v>
      </c>
    </row>
    <row r="30" spans="2:18" s="1" customFormat="1" ht="43.2" x14ac:dyDescent="0.3">
      <c r="B30" s="2" t="s">
        <v>0</v>
      </c>
      <c r="C30" s="23" t="s">
        <v>1</v>
      </c>
      <c r="D30" s="23" t="s">
        <v>16</v>
      </c>
      <c r="E30" s="23" t="s">
        <v>17</v>
      </c>
      <c r="F30" s="24" t="s">
        <v>18</v>
      </c>
      <c r="G30" s="24" t="s">
        <v>2</v>
      </c>
      <c r="H30" s="26" t="s">
        <v>19</v>
      </c>
      <c r="I30" s="26" t="s">
        <v>3</v>
      </c>
      <c r="J30" s="27" t="s">
        <v>20</v>
      </c>
      <c r="K30" s="27" t="s">
        <v>4</v>
      </c>
      <c r="L30" s="25" t="s">
        <v>5</v>
      </c>
      <c r="M30" s="25" t="s">
        <v>6</v>
      </c>
      <c r="N30" s="25" t="s">
        <v>7</v>
      </c>
      <c r="O30" s="28" t="s">
        <v>8</v>
      </c>
      <c r="P30" s="28" t="s">
        <v>9</v>
      </c>
      <c r="Q30" s="28" t="s">
        <v>10</v>
      </c>
    </row>
    <row r="31" spans="2:18" x14ac:dyDescent="0.3">
      <c r="B31" s="21" t="s">
        <v>12</v>
      </c>
      <c r="C31" s="4">
        <v>10812</v>
      </c>
      <c r="D31" s="5">
        <v>6721</v>
      </c>
      <c r="E31" s="6">
        <v>11.7189</v>
      </c>
      <c r="F31" s="10" t="s">
        <v>21</v>
      </c>
      <c r="G31" s="11" t="s">
        <v>21</v>
      </c>
      <c r="H31" s="4">
        <v>7361</v>
      </c>
      <c r="I31" s="6">
        <v>11.463699999999999</v>
      </c>
      <c r="J31" s="4">
        <v>229</v>
      </c>
      <c r="K31" s="6">
        <v>5.7698</v>
      </c>
      <c r="L31" s="14">
        <v>2.5095999999999998</v>
      </c>
      <c r="M31" s="5">
        <v>33530</v>
      </c>
      <c r="N31" s="15">
        <v>5016</v>
      </c>
      <c r="O31" s="18" t="s">
        <v>21</v>
      </c>
      <c r="P31" s="19" t="s">
        <v>21</v>
      </c>
      <c r="Q31" s="20" t="s">
        <v>21</v>
      </c>
    </row>
    <row r="32" spans="2:18" x14ac:dyDescent="0.3">
      <c r="B32" s="22" t="s">
        <v>13</v>
      </c>
      <c r="C32" s="7">
        <v>2036</v>
      </c>
      <c r="D32" s="8">
        <v>1245</v>
      </c>
      <c r="E32" s="9">
        <v>14.9429</v>
      </c>
      <c r="F32" s="7">
        <v>467</v>
      </c>
      <c r="G32" s="9">
        <v>23.9282</v>
      </c>
      <c r="H32" s="7">
        <v>65</v>
      </c>
      <c r="I32" s="9">
        <v>38.442500000000003</v>
      </c>
      <c r="J32" s="7">
        <v>1203</v>
      </c>
      <c r="K32" s="9">
        <v>9.0428999999999995</v>
      </c>
      <c r="L32" s="16">
        <v>2.1309</v>
      </c>
      <c r="M32" s="8">
        <v>4388</v>
      </c>
      <c r="N32" s="17">
        <v>205</v>
      </c>
      <c r="O32" s="16">
        <v>3.1446000000000001</v>
      </c>
      <c r="P32" s="8">
        <v>1274</v>
      </c>
      <c r="Q32" s="17">
        <v>145</v>
      </c>
      <c r="R32" t="s">
        <v>11</v>
      </c>
    </row>
    <row r="33" spans="2:18" x14ac:dyDescent="0.3">
      <c r="B33" s="22" t="s">
        <v>14</v>
      </c>
      <c r="C33" s="7">
        <v>23</v>
      </c>
      <c r="D33" s="8">
        <v>13</v>
      </c>
      <c r="E33" s="9">
        <v>9.5403000000000002</v>
      </c>
      <c r="F33" s="7">
        <v>7</v>
      </c>
      <c r="G33" s="9">
        <v>15.886200000000001</v>
      </c>
      <c r="H33" s="12">
        <v>0</v>
      </c>
      <c r="I33" s="13">
        <v>0</v>
      </c>
      <c r="J33" s="7">
        <v>14</v>
      </c>
      <c r="K33" s="9">
        <v>5.0094000000000003</v>
      </c>
      <c r="L33" s="16">
        <v>1.9885999999999999</v>
      </c>
      <c r="M33" s="8">
        <v>51</v>
      </c>
      <c r="N33" s="17">
        <v>1</v>
      </c>
      <c r="O33" s="16">
        <v>3.7555999999999998</v>
      </c>
      <c r="P33" s="8">
        <v>16</v>
      </c>
      <c r="Q33" s="17">
        <v>2</v>
      </c>
      <c r="R33" t="s">
        <v>11</v>
      </c>
    </row>
    <row r="34" spans="2:18" x14ac:dyDescent="0.3">
      <c r="B34" s="29" t="s">
        <v>15</v>
      </c>
      <c r="C34" s="30">
        <v>28463</v>
      </c>
      <c r="D34" s="31">
        <v>26695</v>
      </c>
      <c r="E34" s="32">
        <v>26.496200000000002</v>
      </c>
      <c r="F34" s="30">
        <v>9779</v>
      </c>
      <c r="G34" s="32">
        <v>26.439599999999999</v>
      </c>
      <c r="H34" s="30">
        <v>524</v>
      </c>
      <c r="I34" s="32">
        <v>14.1333</v>
      </c>
      <c r="J34" s="30">
        <v>23163</v>
      </c>
      <c r="K34" s="32">
        <v>23.520399999999999</v>
      </c>
      <c r="L34" s="33">
        <v>1.8204</v>
      </c>
      <c r="M34" s="31">
        <v>79120</v>
      </c>
      <c r="N34" s="34">
        <v>2364</v>
      </c>
      <c r="O34" s="33">
        <v>1.8348</v>
      </c>
      <c r="P34" s="31">
        <v>25349</v>
      </c>
      <c r="Q34" s="35">
        <v>1490</v>
      </c>
      <c r="R34" t="s">
        <v>11</v>
      </c>
    </row>
    <row r="36" spans="2:18" x14ac:dyDescent="0.3">
      <c r="B36" s="38" t="s">
        <v>28</v>
      </c>
    </row>
    <row r="37" spans="2:18" s="1" customFormat="1" ht="43.2" x14ac:dyDescent="0.3">
      <c r="B37" s="2" t="s">
        <v>0</v>
      </c>
      <c r="C37" s="23" t="s">
        <v>1</v>
      </c>
      <c r="D37" s="23" t="s">
        <v>16</v>
      </c>
      <c r="E37" s="23" t="s">
        <v>17</v>
      </c>
      <c r="F37" s="24" t="s">
        <v>18</v>
      </c>
      <c r="G37" s="24" t="s">
        <v>2</v>
      </c>
      <c r="H37" s="26" t="s">
        <v>19</v>
      </c>
      <c r="I37" s="26" t="s">
        <v>3</v>
      </c>
      <c r="J37" s="27" t="s">
        <v>20</v>
      </c>
      <c r="K37" s="27" t="s">
        <v>4</v>
      </c>
      <c r="L37" s="25" t="s">
        <v>5</v>
      </c>
      <c r="M37" s="25" t="s">
        <v>6</v>
      </c>
      <c r="N37" s="25" t="s">
        <v>7</v>
      </c>
      <c r="O37" s="28" t="s">
        <v>8</v>
      </c>
      <c r="P37" s="28" t="s">
        <v>9</v>
      </c>
      <c r="Q37" s="28" t="s">
        <v>10</v>
      </c>
    </row>
    <row r="38" spans="2:18" x14ac:dyDescent="0.3">
      <c r="B38" s="21" t="s">
        <v>12</v>
      </c>
      <c r="C38" s="4">
        <v>10905</v>
      </c>
      <c r="D38" s="5">
        <v>7278</v>
      </c>
      <c r="E38" s="6">
        <v>14.0451</v>
      </c>
      <c r="F38" s="10" t="s">
        <v>21</v>
      </c>
      <c r="G38" s="11" t="s">
        <v>21</v>
      </c>
      <c r="H38" s="4">
        <v>7424</v>
      </c>
      <c r="I38" s="6">
        <v>14.2453</v>
      </c>
      <c r="J38" s="4">
        <v>429</v>
      </c>
      <c r="K38" s="6">
        <v>3.9266000000000001</v>
      </c>
      <c r="L38" s="14">
        <v>2.0705</v>
      </c>
      <c r="M38" s="5">
        <v>31858</v>
      </c>
      <c r="N38" s="15">
        <v>5053</v>
      </c>
      <c r="O38" s="18" t="s">
        <v>21</v>
      </c>
      <c r="P38" s="19" t="s">
        <v>21</v>
      </c>
      <c r="Q38" s="20" t="s">
        <v>21</v>
      </c>
    </row>
    <row r="39" spans="2:18" x14ac:dyDescent="0.3">
      <c r="B39" s="22" t="s">
        <v>13</v>
      </c>
      <c r="C39" s="7">
        <v>4024</v>
      </c>
      <c r="D39" s="8">
        <v>2205</v>
      </c>
      <c r="E39" s="9">
        <v>15.0702</v>
      </c>
      <c r="F39" s="7">
        <v>458</v>
      </c>
      <c r="G39" s="9">
        <v>32.185299999999998</v>
      </c>
      <c r="H39" s="7">
        <v>42</v>
      </c>
      <c r="I39" s="9">
        <v>35.375700000000002</v>
      </c>
      <c r="J39" s="7">
        <v>1844</v>
      </c>
      <c r="K39" s="9">
        <v>11.2994</v>
      </c>
      <c r="L39" s="16">
        <v>1.6676</v>
      </c>
      <c r="M39" s="8">
        <v>7754</v>
      </c>
      <c r="N39" s="17">
        <v>172</v>
      </c>
      <c r="O39" s="16">
        <v>0.60629999999999995</v>
      </c>
      <c r="P39" s="8">
        <v>2171</v>
      </c>
      <c r="Q39" s="17">
        <v>28</v>
      </c>
    </row>
    <row r="40" spans="2:18" x14ac:dyDescent="0.3">
      <c r="B40" s="22" t="s">
        <v>14</v>
      </c>
      <c r="C40" s="7">
        <v>26</v>
      </c>
      <c r="D40" s="8">
        <v>16</v>
      </c>
      <c r="E40" s="9">
        <v>3.879</v>
      </c>
      <c r="F40" s="7">
        <v>4</v>
      </c>
      <c r="G40" s="9">
        <v>22.1751</v>
      </c>
      <c r="H40" s="12">
        <v>0</v>
      </c>
      <c r="I40" s="13">
        <v>0</v>
      </c>
      <c r="J40" s="7">
        <v>23</v>
      </c>
      <c r="K40" s="9">
        <v>5.2244999999999999</v>
      </c>
      <c r="L40" s="16">
        <v>1.4367000000000001</v>
      </c>
      <c r="M40" s="8">
        <v>65</v>
      </c>
      <c r="N40" s="17">
        <v>1</v>
      </c>
      <c r="O40" s="16">
        <v>8.3500000000000005E-2</v>
      </c>
      <c r="P40" s="8">
        <v>22</v>
      </c>
      <c r="Q40" s="17">
        <v>0</v>
      </c>
    </row>
    <row r="41" spans="2:18" x14ac:dyDescent="0.3">
      <c r="B41" s="29" t="s">
        <v>15</v>
      </c>
      <c r="C41" s="30">
        <v>37582</v>
      </c>
      <c r="D41" s="31">
        <v>34381</v>
      </c>
      <c r="E41" s="32">
        <v>35.831099999999999</v>
      </c>
      <c r="F41" s="30">
        <v>8290</v>
      </c>
      <c r="G41" s="32">
        <v>50.742699999999999</v>
      </c>
      <c r="H41" s="30">
        <v>342</v>
      </c>
      <c r="I41" s="32">
        <v>25.606400000000001</v>
      </c>
      <c r="J41" s="30">
        <v>27302</v>
      </c>
      <c r="K41" s="32">
        <v>30.2698</v>
      </c>
      <c r="L41" s="33">
        <v>1.6990000000000001</v>
      </c>
      <c r="M41" s="31">
        <v>106572</v>
      </c>
      <c r="N41" s="34">
        <v>3814</v>
      </c>
      <c r="O41" s="33">
        <v>1.0928</v>
      </c>
      <c r="P41" s="31">
        <v>33966</v>
      </c>
      <c r="Q41" s="35">
        <v>1368</v>
      </c>
    </row>
    <row r="43" spans="2:18" x14ac:dyDescent="0.3">
      <c r="B43" s="38" t="s">
        <v>29</v>
      </c>
    </row>
    <row r="44" spans="2:18" s="1" customFormat="1" ht="43.2" x14ac:dyDescent="0.3">
      <c r="B44" s="2" t="s">
        <v>0</v>
      </c>
      <c r="C44" s="23" t="s">
        <v>1</v>
      </c>
      <c r="D44" s="23" t="s">
        <v>16</v>
      </c>
      <c r="E44" s="23" t="s">
        <v>17</v>
      </c>
      <c r="F44" s="24" t="s">
        <v>18</v>
      </c>
      <c r="G44" s="24" t="s">
        <v>2</v>
      </c>
      <c r="H44" s="26" t="s">
        <v>19</v>
      </c>
      <c r="I44" s="26" t="s">
        <v>3</v>
      </c>
      <c r="J44" s="27" t="s">
        <v>20</v>
      </c>
      <c r="K44" s="27" t="s">
        <v>4</v>
      </c>
      <c r="L44" s="25" t="s">
        <v>5</v>
      </c>
      <c r="M44" s="25" t="s">
        <v>6</v>
      </c>
      <c r="N44" s="25" t="s">
        <v>7</v>
      </c>
      <c r="O44" s="28" t="s">
        <v>8</v>
      </c>
      <c r="P44" s="28" t="s">
        <v>9</v>
      </c>
      <c r="Q44" s="28" t="s">
        <v>10</v>
      </c>
    </row>
    <row r="45" spans="2:18" x14ac:dyDescent="0.3">
      <c r="B45" s="21" t="s">
        <v>12</v>
      </c>
      <c r="C45" s="4">
        <v>10165</v>
      </c>
      <c r="D45" s="5">
        <v>6062</v>
      </c>
      <c r="E45" s="6">
        <v>11.4861</v>
      </c>
      <c r="F45" s="10" t="s">
        <v>21</v>
      </c>
      <c r="G45" s="11" t="s">
        <v>21</v>
      </c>
      <c r="H45" s="4">
        <v>6178</v>
      </c>
      <c r="I45" s="6">
        <v>11.2372</v>
      </c>
      <c r="J45" s="4">
        <v>450</v>
      </c>
      <c r="K45" s="6">
        <v>10.9361</v>
      </c>
      <c r="L45" s="14">
        <v>1.8383</v>
      </c>
      <c r="M45" s="5">
        <v>26947</v>
      </c>
      <c r="N45" s="15">
        <v>3843</v>
      </c>
      <c r="O45" s="18" t="s">
        <v>21</v>
      </c>
      <c r="P45" s="19" t="s">
        <v>21</v>
      </c>
      <c r="Q45" s="20" t="s">
        <v>21</v>
      </c>
    </row>
    <row r="46" spans="2:18" x14ac:dyDescent="0.3">
      <c r="B46" s="22" t="s">
        <v>13</v>
      </c>
      <c r="C46" s="7">
        <v>3377</v>
      </c>
      <c r="D46" s="8">
        <v>1946</v>
      </c>
      <c r="E46" s="9">
        <v>16.5185</v>
      </c>
      <c r="F46" s="7">
        <v>686</v>
      </c>
      <c r="G46" s="9">
        <v>22.8947</v>
      </c>
      <c r="H46" s="7">
        <v>35</v>
      </c>
      <c r="I46" s="9">
        <v>81.206400000000002</v>
      </c>
      <c r="J46" s="7">
        <v>1341</v>
      </c>
      <c r="K46" s="9">
        <v>10.4945</v>
      </c>
      <c r="L46" s="16">
        <v>1.0056</v>
      </c>
      <c r="M46" s="8">
        <v>6180</v>
      </c>
      <c r="N46" s="17">
        <v>53</v>
      </c>
      <c r="O46" s="16">
        <v>0.30740000000000001</v>
      </c>
      <c r="P46" s="8">
        <v>1861</v>
      </c>
      <c r="Q46" s="17">
        <v>1</v>
      </c>
    </row>
    <row r="47" spans="2:18" x14ac:dyDescent="0.3">
      <c r="B47" s="22" t="s">
        <v>14</v>
      </c>
      <c r="C47" s="7">
        <v>8</v>
      </c>
      <c r="D47" s="8">
        <v>12</v>
      </c>
      <c r="E47" s="9">
        <v>16.2103</v>
      </c>
      <c r="F47" s="7">
        <v>6</v>
      </c>
      <c r="G47" s="9">
        <v>19.317799999999998</v>
      </c>
      <c r="H47" s="12">
        <v>0</v>
      </c>
      <c r="I47" s="13">
        <v>0</v>
      </c>
      <c r="J47" s="7">
        <v>14</v>
      </c>
      <c r="K47" s="9">
        <v>9.7090999999999994</v>
      </c>
      <c r="L47" s="16">
        <v>0.88219999999999998</v>
      </c>
      <c r="M47" s="8">
        <v>23</v>
      </c>
      <c r="N47" s="17">
        <v>1</v>
      </c>
      <c r="O47" s="16">
        <v>0.21229999999999999</v>
      </c>
      <c r="P47" s="8">
        <v>8</v>
      </c>
      <c r="Q47" s="17">
        <v>0</v>
      </c>
    </row>
    <row r="48" spans="2:18" x14ac:dyDescent="0.3">
      <c r="B48" s="29" t="s">
        <v>15</v>
      </c>
      <c r="C48" s="30">
        <v>26161</v>
      </c>
      <c r="D48" s="31">
        <v>22381</v>
      </c>
      <c r="E48" s="32">
        <v>12.6828</v>
      </c>
      <c r="F48" s="30">
        <v>6835</v>
      </c>
      <c r="G48" s="32">
        <v>20.082899999999999</v>
      </c>
      <c r="H48" s="30">
        <v>389</v>
      </c>
      <c r="I48" s="32">
        <v>14.4796</v>
      </c>
      <c r="J48" s="30">
        <v>15574</v>
      </c>
      <c r="K48" s="32">
        <v>9.3999000000000006</v>
      </c>
      <c r="L48" s="33">
        <v>1.1315999999999999</v>
      </c>
      <c r="M48" s="31">
        <v>66579</v>
      </c>
      <c r="N48" s="34">
        <v>1361</v>
      </c>
      <c r="O48" s="33">
        <v>0.73719999999999997</v>
      </c>
      <c r="P48" s="31">
        <v>22316</v>
      </c>
      <c r="Q48" s="35">
        <v>258</v>
      </c>
    </row>
    <row r="50" spans="2:17" x14ac:dyDescent="0.3">
      <c r="B50" s="38" t="s">
        <v>30</v>
      </c>
    </row>
    <row r="51" spans="2:17" s="1" customFormat="1" ht="43.2" x14ac:dyDescent="0.3">
      <c r="B51" s="2" t="s">
        <v>0</v>
      </c>
      <c r="C51" s="23" t="s">
        <v>1</v>
      </c>
      <c r="D51" s="23" t="s">
        <v>16</v>
      </c>
      <c r="E51" s="23" t="s">
        <v>17</v>
      </c>
      <c r="F51" s="24" t="s">
        <v>18</v>
      </c>
      <c r="G51" s="24" t="s">
        <v>2</v>
      </c>
      <c r="H51" s="26" t="s">
        <v>19</v>
      </c>
      <c r="I51" s="26" t="s">
        <v>3</v>
      </c>
      <c r="J51" s="27" t="s">
        <v>20</v>
      </c>
      <c r="K51" s="27" t="s">
        <v>4</v>
      </c>
      <c r="L51" s="25" t="s">
        <v>5</v>
      </c>
      <c r="M51" s="25" t="s">
        <v>6</v>
      </c>
      <c r="N51" s="25" t="s">
        <v>7</v>
      </c>
      <c r="O51" s="28" t="s">
        <v>8</v>
      </c>
      <c r="P51" s="28" t="s">
        <v>9</v>
      </c>
      <c r="Q51" s="28" t="s">
        <v>10</v>
      </c>
    </row>
    <row r="52" spans="2:17" x14ac:dyDescent="0.3">
      <c r="B52" s="21" t="s">
        <v>12</v>
      </c>
      <c r="C52" s="4">
        <v>14213</v>
      </c>
      <c r="D52" s="5">
        <v>8493</v>
      </c>
      <c r="E52" s="6">
        <v>9.9065999999999992</v>
      </c>
      <c r="F52" s="10" t="s">
        <v>21</v>
      </c>
      <c r="G52" s="11" t="s">
        <v>21</v>
      </c>
      <c r="H52" s="4">
        <v>8029</v>
      </c>
      <c r="I52" s="6">
        <v>10.495900000000001</v>
      </c>
      <c r="J52" s="4">
        <v>680</v>
      </c>
      <c r="K52" s="6">
        <v>2.9346000000000001</v>
      </c>
      <c r="L52" s="14">
        <v>2.3245</v>
      </c>
      <c r="M52" s="5">
        <v>40048</v>
      </c>
      <c r="N52" s="15">
        <v>6880</v>
      </c>
      <c r="O52" s="18" t="s">
        <v>21</v>
      </c>
      <c r="P52" s="19" t="s">
        <v>21</v>
      </c>
      <c r="Q52" s="20" t="s">
        <v>21</v>
      </c>
    </row>
    <row r="53" spans="2:17" x14ac:dyDescent="0.3">
      <c r="B53" s="22" t="s">
        <v>13</v>
      </c>
      <c r="C53" s="7">
        <v>3960</v>
      </c>
      <c r="D53" s="8">
        <v>2141</v>
      </c>
      <c r="E53" s="9">
        <v>10.3019</v>
      </c>
      <c r="F53" s="7">
        <v>715</v>
      </c>
      <c r="G53" s="9">
        <v>20.314499999999999</v>
      </c>
      <c r="H53" s="7">
        <v>35</v>
      </c>
      <c r="I53" s="9">
        <v>19.523399999999999</v>
      </c>
      <c r="J53" s="7">
        <v>1467</v>
      </c>
      <c r="K53" s="9">
        <v>5.6818</v>
      </c>
      <c r="L53" s="16">
        <v>1.6751</v>
      </c>
      <c r="M53" s="8">
        <v>7939</v>
      </c>
      <c r="N53" s="17">
        <v>181</v>
      </c>
      <c r="O53" s="16">
        <v>4.5201000000000002</v>
      </c>
      <c r="P53" s="8">
        <v>2211</v>
      </c>
      <c r="Q53" s="17">
        <v>164</v>
      </c>
    </row>
    <row r="54" spans="2:17" x14ac:dyDescent="0.3">
      <c r="B54" s="22" t="s">
        <v>14</v>
      </c>
      <c r="C54" s="7">
        <v>19</v>
      </c>
      <c r="D54" s="8">
        <v>9</v>
      </c>
      <c r="E54" s="9">
        <v>20.052399999999999</v>
      </c>
      <c r="F54" s="7">
        <v>5</v>
      </c>
      <c r="G54" s="9">
        <v>36.215400000000002</v>
      </c>
      <c r="H54" s="12">
        <v>0</v>
      </c>
      <c r="I54" s="13">
        <v>0</v>
      </c>
      <c r="J54" s="7">
        <v>12</v>
      </c>
      <c r="K54" s="9">
        <v>1.8481000000000001</v>
      </c>
      <c r="L54" s="16">
        <v>3.8266</v>
      </c>
      <c r="M54" s="8">
        <v>51</v>
      </c>
      <c r="N54" s="17">
        <v>2</v>
      </c>
      <c r="O54" s="16">
        <v>2.6700000000000002E-2</v>
      </c>
      <c r="P54" s="8">
        <v>16</v>
      </c>
      <c r="Q54" s="17">
        <v>0</v>
      </c>
    </row>
    <row r="55" spans="2:17" x14ac:dyDescent="0.3">
      <c r="B55" s="29" t="s">
        <v>15</v>
      </c>
      <c r="C55" s="30">
        <v>22770</v>
      </c>
      <c r="D55" s="31">
        <v>19276</v>
      </c>
      <c r="E55" s="32">
        <v>9.2917000000000005</v>
      </c>
      <c r="F55" s="30">
        <v>5851</v>
      </c>
      <c r="G55" s="32">
        <v>17.438800000000001</v>
      </c>
      <c r="H55" s="30">
        <v>613</v>
      </c>
      <c r="I55" s="32">
        <v>10.409599999999999</v>
      </c>
      <c r="J55" s="30">
        <v>13303</v>
      </c>
      <c r="K55" s="32">
        <v>5.7412000000000001</v>
      </c>
      <c r="L55" s="33">
        <v>1.4527000000000001</v>
      </c>
      <c r="M55" s="31">
        <v>63793</v>
      </c>
      <c r="N55" s="34">
        <v>1320</v>
      </c>
      <c r="O55" s="33">
        <v>0.79010000000000002</v>
      </c>
      <c r="P55" s="31">
        <v>20216</v>
      </c>
      <c r="Q55" s="35">
        <v>522</v>
      </c>
    </row>
    <row r="57" spans="2:17" x14ac:dyDescent="0.3">
      <c r="B57" s="38" t="s">
        <v>31</v>
      </c>
    </row>
    <row r="58" spans="2:17" s="1" customFormat="1" ht="43.2" x14ac:dyDescent="0.3">
      <c r="B58" s="2" t="s">
        <v>0</v>
      </c>
      <c r="C58" s="23" t="s">
        <v>1</v>
      </c>
      <c r="D58" s="23" t="s">
        <v>16</v>
      </c>
      <c r="E58" s="23" t="s">
        <v>17</v>
      </c>
      <c r="F58" s="24" t="s">
        <v>18</v>
      </c>
      <c r="G58" s="24" t="s">
        <v>2</v>
      </c>
      <c r="H58" s="26" t="s">
        <v>19</v>
      </c>
      <c r="I58" s="26" t="s">
        <v>3</v>
      </c>
      <c r="J58" s="27" t="s">
        <v>20</v>
      </c>
      <c r="K58" s="27" t="s">
        <v>4</v>
      </c>
      <c r="L58" s="25" t="s">
        <v>5</v>
      </c>
      <c r="M58" s="25" t="s">
        <v>6</v>
      </c>
      <c r="N58" s="25" t="s">
        <v>7</v>
      </c>
      <c r="O58" s="28" t="s">
        <v>8</v>
      </c>
      <c r="P58" s="28" t="s">
        <v>9</v>
      </c>
      <c r="Q58" s="28" t="s">
        <v>10</v>
      </c>
    </row>
    <row r="59" spans="2:17" x14ac:dyDescent="0.3">
      <c r="B59" s="21" t="s">
        <v>12</v>
      </c>
      <c r="C59" s="4">
        <v>12396</v>
      </c>
      <c r="D59" s="5">
        <v>7227</v>
      </c>
      <c r="E59" s="6">
        <v>13.963900000000001</v>
      </c>
      <c r="F59" s="10" t="s">
        <v>21</v>
      </c>
      <c r="G59" s="11" t="s">
        <v>21</v>
      </c>
      <c r="H59" s="4">
        <v>6807</v>
      </c>
      <c r="I59" s="6">
        <v>10.2149</v>
      </c>
      <c r="J59" s="4">
        <v>593</v>
      </c>
      <c r="K59" s="6">
        <v>55.885899999999999</v>
      </c>
      <c r="L59" s="14">
        <v>2.2866</v>
      </c>
      <c r="M59" s="5">
        <v>34498</v>
      </c>
      <c r="N59" s="15">
        <v>5291</v>
      </c>
      <c r="O59" s="18" t="s">
        <v>21</v>
      </c>
      <c r="P59" s="19" t="s">
        <v>21</v>
      </c>
      <c r="Q59" s="20" t="s">
        <v>21</v>
      </c>
    </row>
    <row r="60" spans="2:17" x14ac:dyDescent="0.3">
      <c r="B60" s="22" t="s">
        <v>13</v>
      </c>
      <c r="C60" s="7">
        <v>2767</v>
      </c>
      <c r="D60" s="8">
        <v>1827</v>
      </c>
      <c r="E60" s="9">
        <v>33.767499999999998</v>
      </c>
      <c r="F60" s="7">
        <v>605</v>
      </c>
      <c r="G60" s="9">
        <v>31.009499999999999</v>
      </c>
      <c r="H60" s="7">
        <v>23</v>
      </c>
      <c r="I60" s="9">
        <v>10.338800000000001</v>
      </c>
      <c r="J60" s="7">
        <v>1252</v>
      </c>
      <c r="K60" s="9">
        <v>37.467700000000001</v>
      </c>
      <c r="L60" s="16">
        <v>1.1617</v>
      </c>
      <c r="M60" s="8">
        <v>5220</v>
      </c>
      <c r="N60" s="17">
        <v>93</v>
      </c>
      <c r="O60" s="16">
        <v>2.1154000000000002</v>
      </c>
      <c r="P60" s="8">
        <v>1396</v>
      </c>
      <c r="Q60" s="17">
        <v>66</v>
      </c>
    </row>
    <row r="61" spans="2:17" x14ac:dyDescent="0.3">
      <c r="B61" s="22" t="s">
        <v>14</v>
      </c>
      <c r="C61" s="7">
        <v>14</v>
      </c>
      <c r="D61" s="8">
        <v>16</v>
      </c>
      <c r="E61" s="9">
        <v>84.533299999999997</v>
      </c>
      <c r="F61" s="7">
        <v>6</v>
      </c>
      <c r="G61" s="9">
        <v>46.146799999999999</v>
      </c>
      <c r="H61" s="12">
        <v>0</v>
      </c>
      <c r="I61" s="13">
        <v>0</v>
      </c>
      <c r="J61" s="7">
        <v>12</v>
      </c>
      <c r="K61" s="9">
        <v>89.646100000000004</v>
      </c>
      <c r="L61" s="16">
        <v>2.6396000000000002</v>
      </c>
      <c r="M61" s="8">
        <v>30</v>
      </c>
      <c r="N61" s="17">
        <v>2</v>
      </c>
      <c r="O61" s="16">
        <v>4.0800000000000003E-2</v>
      </c>
      <c r="P61" s="8">
        <v>9</v>
      </c>
      <c r="Q61" s="17">
        <v>0</v>
      </c>
    </row>
    <row r="62" spans="2:17" x14ac:dyDescent="0.3">
      <c r="B62" s="29" t="s">
        <v>15</v>
      </c>
      <c r="C62" s="30">
        <v>15981</v>
      </c>
      <c r="D62" s="31">
        <v>13578</v>
      </c>
      <c r="E62" s="32">
        <v>27.116399999999999</v>
      </c>
      <c r="F62" s="30">
        <v>3915</v>
      </c>
      <c r="G62" s="32">
        <v>17.435400000000001</v>
      </c>
      <c r="H62" s="30">
        <v>96</v>
      </c>
      <c r="I62" s="32">
        <v>8.0937000000000001</v>
      </c>
      <c r="J62" s="30">
        <v>9779</v>
      </c>
      <c r="K62" s="32">
        <v>30.948599999999999</v>
      </c>
      <c r="L62" s="33">
        <v>1.3666</v>
      </c>
      <c r="M62" s="31">
        <v>44093</v>
      </c>
      <c r="N62" s="34">
        <v>1938</v>
      </c>
      <c r="O62" s="33">
        <v>0.749</v>
      </c>
      <c r="P62" s="31">
        <v>14350</v>
      </c>
      <c r="Q62" s="35">
        <v>330</v>
      </c>
    </row>
    <row r="64" spans="2:17" x14ac:dyDescent="0.3">
      <c r="B64" s="38" t="s">
        <v>32</v>
      </c>
    </row>
    <row r="65" spans="2:18" s="1" customFormat="1" ht="43.2" x14ac:dyDescent="0.3">
      <c r="B65" s="2" t="s">
        <v>0</v>
      </c>
      <c r="C65" s="23" t="s">
        <v>1</v>
      </c>
      <c r="D65" s="23" t="s">
        <v>16</v>
      </c>
      <c r="E65" s="23" t="s">
        <v>17</v>
      </c>
      <c r="F65" s="24" t="s">
        <v>18</v>
      </c>
      <c r="G65" s="24" t="s">
        <v>2</v>
      </c>
      <c r="H65" s="26" t="s">
        <v>19</v>
      </c>
      <c r="I65" s="26" t="s">
        <v>3</v>
      </c>
      <c r="J65" s="27" t="s">
        <v>20</v>
      </c>
      <c r="K65" s="27" t="s">
        <v>4</v>
      </c>
      <c r="L65" s="25" t="s">
        <v>5</v>
      </c>
      <c r="M65" s="25" t="s">
        <v>6</v>
      </c>
      <c r="N65" s="25" t="s">
        <v>7</v>
      </c>
      <c r="O65" s="28" t="s">
        <v>8</v>
      </c>
      <c r="P65" s="28" t="s">
        <v>9</v>
      </c>
      <c r="Q65" s="28" t="s">
        <v>10</v>
      </c>
    </row>
    <row r="66" spans="2:18" x14ac:dyDescent="0.3">
      <c r="B66" s="21" t="s">
        <v>12</v>
      </c>
      <c r="C66" s="4">
        <v>14014</v>
      </c>
      <c r="D66" s="5">
        <v>8173</v>
      </c>
      <c r="E66" s="6">
        <v>13.095000000000001</v>
      </c>
      <c r="F66" s="10" t="s">
        <v>21</v>
      </c>
      <c r="G66" s="11" t="s">
        <v>21</v>
      </c>
      <c r="H66" s="4">
        <v>7693</v>
      </c>
      <c r="I66" s="6">
        <v>10.3878</v>
      </c>
      <c r="J66" s="4">
        <v>692</v>
      </c>
      <c r="K66" s="6">
        <v>43.987200000000001</v>
      </c>
      <c r="L66" s="14">
        <v>1.7746</v>
      </c>
      <c r="M66" s="5">
        <v>37635</v>
      </c>
      <c r="N66" s="15">
        <v>5466</v>
      </c>
      <c r="O66" s="18" t="s">
        <v>21</v>
      </c>
      <c r="P66" s="19" t="s">
        <v>21</v>
      </c>
      <c r="Q66" s="20" t="s">
        <v>21</v>
      </c>
    </row>
    <row r="67" spans="2:18" x14ac:dyDescent="0.3">
      <c r="B67" s="22" t="s">
        <v>13</v>
      </c>
      <c r="C67" s="7">
        <v>3398</v>
      </c>
      <c r="D67" s="8">
        <v>1623</v>
      </c>
      <c r="E67" s="9">
        <v>23.622299999999999</v>
      </c>
      <c r="F67" s="7">
        <v>357</v>
      </c>
      <c r="G67" s="9">
        <v>34.708599999999997</v>
      </c>
      <c r="H67" s="7">
        <v>34</v>
      </c>
      <c r="I67" s="9">
        <v>12.965999999999999</v>
      </c>
      <c r="J67" s="7">
        <v>1280</v>
      </c>
      <c r="K67" s="9">
        <v>22.218499999999999</v>
      </c>
      <c r="L67" s="16">
        <v>0.68489999999999995</v>
      </c>
      <c r="M67" s="8">
        <v>6252</v>
      </c>
      <c r="N67" s="17">
        <v>64</v>
      </c>
      <c r="O67" s="16">
        <v>0.37190000000000001</v>
      </c>
      <c r="P67" s="8">
        <v>1670</v>
      </c>
      <c r="Q67" s="17">
        <v>23</v>
      </c>
    </row>
    <row r="68" spans="2:18" x14ac:dyDescent="0.3">
      <c r="B68" s="22" t="s">
        <v>14</v>
      </c>
      <c r="C68" s="7">
        <v>6</v>
      </c>
      <c r="D68" s="8">
        <v>5</v>
      </c>
      <c r="E68" s="9">
        <v>15.749000000000001</v>
      </c>
      <c r="F68" s="7">
        <v>3</v>
      </c>
      <c r="G68" s="9">
        <v>26.0776</v>
      </c>
      <c r="H68" s="12">
        <v>0</v>
      </c>
      <c r="I68" s="13">
        <v>0</v>
      </c>
      <c r="J68" s="7">
        <v>5</v>
      </c>
      <c r="K68" s="9">
        <v>6.3883000000000001</v>
      </c>
      <c r="L68" s="16">
        <v>0.92820000000000003</v>
      </c>
      <c r="M68" s="8">
        <v>18</v>
      </c>
      <c r="N68" s="17">
        <v>1</v>
      </c>
      <c r="O68" s="16">
        <v>1.2462</v>
      </c>
      <c r="P68" s="8">
        <v>6</v>
      </c>
      <c r="Q68" s="17">
        <v>0</v>
      </c>
    </row>
    <row r="69" spans="2:18" x14ac:dyDescent="0.3">
      <c r="B69" s="29" t="s">
        <v>15</v>
      </c>
      <c r="C69" s="30">
        <v>18988</v>
      </c>
      <c r="D69" s="31">
        <v>12868</v>
      </c>
      <c r="E69" s="32">
        <v>17.276199999999999</v>
      </c>
      <c r="F69" s="30">
        <v>2847</v>
      </c>
      <c r="G69" s="32">
        <v>14.7357</v>
      </c>
      <c r="H69" s="30">
        <v>148</v>
      </c>
      <c r="I69" s="32">
        <v>12.290699999999999</v>
      </c>
      <c r="J69" s="30">
        <v>10471</v>
      </c>
      <c r="K69" s="32">
        <v>17.3081</v>
      </c>
      <c r="L69" s="33">
        <v>0.93079999999999996</v>
      </c>
      <c r="M69" s="31">
        <v>48148</v>
      </c>
      <c r="N69" s="34">
        <v>1772</v>
      </c>
      <c r="O69" s="33">
        <v>0.54859999999999998</v>
      </c>
      <c r="P69" s="31">
        <v>16508</v>
      </c>
      <c r="Q69" s="35">
        <v>279</v>
      </c>
    </row>
    <row r="71" spans="2:18" x14ac:dyDescent="0.3">
      <c r="B71" s="38" t="s">
        <v>33</v>
      </c>
    </row>
    <row r="72" spans="2:18" s="1" customFormat="1" ht="43.2" x14ac:dyDescent="0.3">
      <c r="B72" s="2" t="s">
        <v>0</v>
      </c>
      <c r="C72" s="23" t="s">
        <v>1</v>
      </c>
      <c r="D72" s="23" t="s">
        <v>16</v>
      </c>
      <c r="E72" s="23" t="s">
        <v>17</v>
      </c>
      <c r="F72" s="24" t="s">
        <v>18</v>
      </c>
      <c r="G72" s="24" t="s">
        <v>2</v>
      </c>
      <c r="H72" s="26" t="s">
        <v>19</v>
      </c>
      <c r="I72" s="26" t="s">
        <v>3</v>
      </c>
      <c r="J72" s="27" t="s">
        <v>20</v>
      </c>
      <c r="K72" s="27" t="s">
        <v>4</v>
      </c>
      <c r="L72" s="25" t="s">
        <v>5</v>
      </c>
      <c r="M72" s="25" t="s">
        <v>6</v>
      </c>
      <c r="N72" s="25" t="s">
        <v>7</v>
      </c>
      <c r="O72" s="28" t="s">
        <v>8</v>
      </c>
      <c r="P72" s="28" t="s">
        <v>9</v>
      </c>
      <c r="Q72" s="28" t="s">
        <v>10</v>
      </c>
    </row>
    <row r="73" spans="2:18" x14ac:dyDescent="0.3">
      <c r="B73" s="21" t="s">
        <v>12</v>
      </c>
      <c r="C73" s="4">
        <v>13759</v>
      </c>
      <c r="D73" s="5">
        <v>9379</v>
      </c>
      <c r="E73" s="6">
        <v>10.029</v>
      </c>
      <c r="F73" s="10" t="s">
        <v>21</v>
      </c>
      <c r="G73" s="11" t="s">
        <v>21</v>
      </c>
      <c r="H73" s="4">
        <v>8913</v>
      </c>
      <c r="I73" s="6">
        <v>10.396599999999999</v>
      </c>
      <c r="J73" s="4">
        <v>616</v>
      </c>
      <c r="K73" s="6">
        <v>5.5841000000000003</v>
      </c>
      <c r="L73" s="14">
        <v>2.1263999999999998</v>
      </c>
      <c r="M73" s="5">
        <v>40349</v>
      </c>
      <c r="N73" s="15">
        <v>5339</v>
      </c>
      <c r="O73" s="18" t="s">
        <v>21</v>
      </c>
      <c r="P73" s="19" t="s">
        <v>21</v>
      </c>
      <c r="Q73" s="20" t="s">
        <v>21</v>
      </c>
      <c r="R73" t="s">
        <v>11</v>
      </c>
    </row>
    <row r="74" spans="2:18" x14ac:dyDescent="0.3">
      <c r="B74" s="22" t="s">
        <v>13</v>
      </c>
      <c r="C74" s="7">
        <v>4079</v>
      </c>
      <c r="D74" s="8">
        <v>2153</v>
      </c>
      <c r="E74" s="9">
        <v>33.484499999999997</v>
      </c>
      <c r="F74" s="7">
        <v>519</v>
      </c>
      <c r="G74" s="9">
        <v>36.883400000000002</v>
      </c>
      <c r="H74" s="7">
        <v>48</v>
      </c>
      <c r="I74" s="9">
        <v>24.9451</v>
      </c>
      <c r="J74" s="7">
        <v>1662</v>
      </c>
      <c r="K74" s="9">
        <v>33.003300000000003</v>
      </c>
      <c r="L74" s="16">
        <v>1.0374000000000001</v>
      </c>
      <c r="M74" s="8">
        <v>7997</v>
      </c>
      <c r="N74" s="17">
        <v>138</v>
      </c>
      <c r="O74" s="16">
        <v>8.234</v>
      </c>
      <c r="P74" s="8">
        <v>2183</v>
      </c>
      <c r="Q74" s="17">
        <v>290</v>
      </c>
      <c r="R74">
        <v>290</v>
      </c>
    </row>
    <row r="75" spans="2:18" x14ac:dyDescent="0.3">
      <c r="B75" s="22" t="s">
        <v>14</v>
      </c>
      <c r="C75" s="7">
        <v>95</v>
      </c>
      <c r="D75" s="8">
        <v>30</v>
      </c>
      <c r="E75" s="9">
        <v>26.5275</v>
      </c>
      <c r="F75" s="7">
        <v>10</v>
      </c>
      <c r="G75" s="9">
        <v>12.011699999999999</v>
      </c>
      <c r="H75" s="12">
        <v>0</v>
      </c>
      <c r="I75" s="13">
        <v>0</v>
      </c>
      <c r="J75" s="7">
        <v>24</v>
      </c>
      <c r="K75" s="9">
        <v>28.200900000000001</v>
      </c>
      <c r="L75" s="16">
        <v>1.3290999999999999</v>
      </c>
      <c r="M75" s="8">
        <v>190</v>
      </c>
      <c r="N75" s="17">
        <v>3</v>
      </c>
      <c r="O75" s="16">
        <v>11.0623</v>
      </c>
      <c r="P75" s="8">
        <v>53</v>
      </c>
      <c r="Q75" s="17">
        <v>14</v>
      </c>
      <c r="R75">
        <v>14</v>
      </c>
    </row>
    <row r="76" spans="2:18" x14ac:dyDescent="0.3">
      <c r="B76" s="29" t="s">
        <v>15</v>
      </c>
      <c r="C76" s="30">
        <v>21448</v>
      </c>
      <c r="D76" s="31">
        <v>17741</v>
      </c>
      <c r="E76" s="32">
        <v>13.724399999999999</v>
      </c>
      <c r="F76" s="30">
        <v>3952</v>
      </c>
      <c r="G76" s="32">
        <v>15.156000000000001</v>
      </c>
      <c r="H76" s="30">
        <v>109</v>
      </c>
      <c r="I76" s="32">
        <v>31.946999999999999</v>
      </c>
      <c r="J76" s="30">
        <v>14394</v>
      </c>
      <c r="K76" s="32">
        <v>12.718999999999999</v>
      </c>
      <c r="L76" s="33">
        <v>1.2170000000000001</v>
      </c>
      <c r="M76" s="31">
        <v>59913</v>
      </c>
      <c r="N76" s="34">
        <v>1077</v>
      </c>
      <c r="O76" s="33">
        <v>0.66200000000000003</v>
      </c>
      <c r="P76" s="31">
        <v>19492</v>
      </c>
      <c r="Q76" s="35">
        <v>432</v>
      </c>
      <c r="R76">
        <v>432</v>
      </c>
    </row>
    <row r="78" spans="2:18" x14ac:dyDescent="0.3">
      <c r="B78" s="38" t="s">
        <v>34</v>
      </c>
    </row>
    <row r="79" spans="2:18" s="1" customFormat="1" ht="43.2" x14ac:dyDescent="0.3">
      <c r="B79" s="2" t="s">
        <v>0</v>
      </c>
      <c r="C79" s="23" t="s">
        <v>1</v>
      </c>
      <c r="D79" s="23" t="s">
        <v>16</v>
      </c>
      <c r="E79" s="23" t="s">
        <v>17</v>
      </c>
      <c r="F79" s="24" t="s">
        <v>18</v>
      </c>
      <c r="G79" s="24" t="s">
        <v>2</v>
      </c>
      <c r="H79" s="26" t="s">
        <v>19</v>
      </c>
      <c r="I79" s="26" t="s">
        <v>3</v>
      </c>
      <c r="J79" s="27" t="s">
        <v>20</v>
      </c>
      <c r="K79" s="27" t="s">
        <v>4</v>
      </c>
      <c r="L79" s="25" t="s">
        <v>5</v>
      </c>
      <c r="M79" s="25" t="s">
        <v>6</v>
      </c>
      <c r="N79" s="25" t="s">
        <v>7</v>
      </c>
      <c r="O79" s="28" t="s">
        <v>8</v>
      </c>
      <c r="P79" s="28" t="s">
        <v>9</v>
      </c>
      <c r="Q79" s="28" t="s">
        <v>10</v>
      </c>
    </row>
    <row r="80" spans="2:18" x14ac:dyDescent="0.3">
      <c r="B80" s="21" t="s">
        <v>12</v>
      </c>
      <c r="C80" s="4">
        <v>12332</v>
      </c>
      <c r="D80" s="5">
        <v>8033</v>
      </c>
      <c r="E80" s="6">
        <v>10.393599999999999</v>
      </c>
      <c r="F80" s="10" t="s">
        <v>21</v>
      </c>
      <c r="G80" s="11" t="s">
        <v>21</v>
      </c>
      <c r="H80" s="4">
        <v>7567</v>
      </c>
      <c r="I80" s="6">
        <v>10.089700000000001</v>
      </c>
      <c r="J80" s="4">
        <v>628</v>
      </c>
      <c r="K80" s="6">
        <v>14.368499999999999</v>
      </c>
      <c r="L80" s="14">
        <v>2.0409999999999999</v>
      </c>
      <c r="M80" s="5">
        <v>36134</v>
      </c>
      <c r="N80" s="15">
        <v>5103</v>
      </c>
      <c r="O80" s="18" t="s">
        <v>21</v>
      </c>
      <c r="P80" s="19" t="s">
        <v>21</v>
      </c>
      <c r="Q80" s="20" t="s">
        <v>21</v>
      </c>
      <c r="R80" t="s">
        <v>11</v>
      </c>
    </row>
    <row r="81" spans="2:18" x14ac:dyDescent="0.3">
      <c r="B81" s="22" t="s">
        <v>13</v>
      </c>
      <c r="C81" s="7">
        <v>4160</v>
      </c>
      <c r="D81" s="8">
        <v>2104</v>
      </c>
      <c r="E81" s="9">
        <v>31.436399999999999</v>
      </c>
      <c r="F81" s="7">
        <v>532</v>
      </c>
      <c r="G81" s="9">
        <v>24.601400000000002</v>
      </c>
      <c r="H81" s="7">
        <v>73</v>
      </c>
      <c r="I81" s="9">
        <v>19.557300000000001</v>
      </c>
      <c r="J81" s="7">
        <v>1621</v>
      </c>
      <c r="K81" s="9">
        <v>36.156599999999997</v>
      </c>
      <c r="L81" s="16">
        <v>1.1922999999999999</v>
      </c>
      <c r="M81" s="8">
        <v>8008</v>
      </c>
      <c r="N81" s="17">
        <v>197</v>
      </c>
      <c r="O81" s="16">
        <v>1.7365999999999999</v>
      </c>
      <c r="P81" s="8">
        <v>2048</v>
      </c>
      <c r="Q81" s="17">
        <v>79</v>
      </c>
      <c r="R81">
        <v>79</v>
      </c>
    </row>
    <row r="82" spans="2:18" x14ac:dyDescent="0.3">
      <c r="B82" s="22" t="s">
        <v>14</v>
      </c>
      <c r="C82" s="7">
        <v>33</v>
      </c>
      <c r="D82" s="8">
        <v>27</v>
      </c>
      <c r="E82" s="9">
        <v>41.6387</v>
      </c>
      <c r="F82" s="7">
        <v>10</v>
      </c>
      <c r="G82" s="9">
        <v>24.229099999999999</v>
      </c>
      <c r="H82" s="12">
        <v>0</v>
      </c>
      <c r="I82" s="13">
        <v>0</v>
      </c>
      <c r="J82" s="7">
        <v>20</v>
      </c>
      <c r="K82" s="9">
        <v>48.670099999999998</v>
      </c>
      <c r="L82" s="16">
        <v>0.60750000000000004</v>
      </c>
      <c r="M82" s="8">
        <v>52</v>
      </c>
      <c r="N82" s="17">
        <v>1</v>
      </c>
      <c r="O82" s="16">
        <v>6.6788999999999996</v>
      </c>
      <c r="P82" s="8">
        <v>13</v>
      </c>
      <c r="Q82" s="17">
        <v>4</v>
      </c>
      <c r="R82">
        <v>4</v>
      </c>
    </row>
    <row r="83" spans="2:18" x14ac:dyDescent="0.3">
      <c r="B83" s="29" t="s">
        <v>15</v>
      </c>
      <c r="C83" s="30">
        <v>20159</v>
      </c>
      <c r="D83" s="31">
        <v>17611</v>
      </c>
      <c r="E83" s="32">
        <v>20.105599999999999</v>
      </c>
      <c r="F83" s="30">
        <v>3967</v>
      </c>
      <c r="G83" s="32">
        <v>13.9049</v>
      </c>
      <c r="H83" s="30">
        <v>67</v>
      </c>
      <c r="I83" s="32">
        <v>14.032500000000001</v>
      </c>
      <c r="J83" s="30">
        <v>14050</v>
      </c>
      <c r="K83" s="32">
        <v>21.4499</v>
      </c>
      <c r="L83" s="33">
        <v>1.2765</v>
      </c>
      <c r="M83" s="31">
        <v>56876</v>
      </c>
      <c r="N83" s="34">
        <v>1013</v>
      </c>
      <c r="O83" s="33">
        <v>0.83599999999999997</v>
      </c>
      <c r="P83" s="31">
        <v>18587</v>
      </c>
      <c r="Q83" s="35">
        <v>478</v>
      </c>
      <c r="R83">
        <v>478</v>
      </c>
    </row>
    <row r="85" spans="2:18" x14ac:dyDescent="0.3">
      <c r="B85" s="38" t="s">
        <v>35</v>
      </c>
    </row>
    <row r="86" spans="2:18" s="1" customFormat="1" ht="43.2" x14ac:dyDescent="0.3">
      <c r="B86" s="2" t="s">
        <v>0</v>
      </c>
      <c r="C86" s="23" t="s">
        <v>1</v>
      </c>
      <c r="D86" s="23" t="s">
        <v>16</v>
      </c>
      <c r="E86" s="23" t="s">
        <v>17</v>
      </c>
      <c r="F86" s="24" t="s">
        <v>18</v>
      </c>
      <c r="G86" s="24" t="s">
        <v>2</v>
      </c>
      <c r="H86" s="26" t="s">
        <v>19</v>
      </c>
      <c r="I86" s="26" t="s">
        <v>3</v>
      </c>
      <c r="J86" s="27" t="s">
        <v>20</v>
      </c>
      <c r="K86" s="27" t="s">
        <v>4</v>
      </c>
      <c r="L86" s="25" t="s">
        <v>5</v>
      </c>
      <c r="M86" s="25" t="s">
        <v>6</v>
      </c>
      <c r="N86" s="25" t="s">
        <v>7</v>
      </c>
      <c r="O86" s="28" t="s">
        <v>8</v>
      </c>
      <c r="P86" s="28" t="s">
        <v>9</v>
      </c>
      <c r="Q86" s="28" t="s">
        <v>10</v>
      </c>
    </row>
    <row r="87" spans="2:18" x14ac:dyDescent="0.3">
      <c r="B87" s="21" t="s">
        <v>12</v>
      </c>
      <c r="C87" s="4">
        <v>12184</v>
      </c>
      <c r="D87" s="5">
        <v>7870</v>
      </c>
      <c r="E87" s="6">
        <v>9.3239000000000001</v>
      </c>
      <c r="F87" s="10" t="s">
        <v>21</v>
      </c>
      <c r="G87" s="11" t="s">
        <v>21</v>
      </c>
      <c r="H87" s="4">
        <v>7069</v>
      </c>
      <c r="I87" s="6">
        <v>9.0444999999999993</v>
      </c>
      <c r="J87" s="4">
        <v>1017</v>
      </c>
      <c r="K87" s="6">
        <v>12.2872</v>
      </c>
      <c r="L87" s="14">
        <v>1.8444</v>
      </c>
      <c r="M87" s="5">
        <v>33500</v>
      </c>
      <c r="N87" s="15">
        <v>4507</v>
      </c>
      <c r="O87" s="18" t="s">
        <v>21</v>
      </c>
      <c r="P87" s="19" t="s">
        <v>21</v>
      </c>
      <c r="Q87" s="20" t="s">
        <v>21</v>
      </c>
      <c r="R87" t="s">
        <v>11</v>
      </c>
    </row>
    <row r="88" spans="2:18" x14ac:dyDescent="0.3">
      <c r="B88" s="22" t="s">
        <v>13</v>
      </c>
      <c r="C88" s="7">
        <v>4384</v>
      </c>
      <c r="D88" s="8">
        <v>1937</v>
      </c>
      <c r="E88" s="9">
        <v>37.654400000000003</v>
      </c>
      <c r="F88" s="7">
        <v>496</v>
      </c>
      <c r="G88" s="9">
        <v>35.8825</v>
      </c>
      <c r="H88" s="7">
        <v>66</v>
      </c>
      <c r="I88" s="9">
        <v>21.269500000000001</v>
      </c>
      <c r="J88" s="7">
        <v>1471</v>
      </c>
      <c r="K88" s="9">
        <v>38.582299999999996</v>
      </c>
      <c r="L88" s="16">
        <v>1.0640000000000001</v>
      </c>
      <c r="M88" s="8">
        <v>7250</v>
      </c>
      <c r="N88" s="17">
        <v>251</v>
      </c>
      <c r="O88" s="16">
        <v>0.73660000000000003</v>
      </c>
      <c r="P88" s="8">
        <v>1840</v>
      </c>
      <c r="Q88" s="17">
        <v>35</v>
      </c>
      <c r="R88">
        <v>35</v>
      </c>
    </row>
    <row r="89" spans="2:18" x14ac:dyDescent="0.3">
      <c r="B89" s="22" t="s">
        <v>14</v>
      </c>
      <c r="C89" s="7">
        <v>28</v>
      </c>
      <c r="D89" s="8">
        <v>9</v>
      </c>
      <c r="E89" s="9">
        <v>43.948599999999999</v>
      </c>
      <c r="F89" s="7">
        <v>4</v>
      </c>
      <c r="G89" s="9">
        <v>53.484699999999997</v>
      </c>
      <c r="H89" s="12">
        <v>0</v>
      </c>
      <c r="I89" s="13">
        <v>0</v>
      </c>
      <c r="J89" s="7">
        <v>7</v>
      </c>
      <c r="K89" s="9">
        <v>26.023499999999999</v>
      </c>
      <c r="L89" s="16">
        <v>0.65349999999999997</v>
      </c>
      <c r="M89" s="8">
        <v>35</v>
      </c>
      <c r="N89" s="17">
        <v>0</v>
      </c>
      <c r="O89" s="16">
        <v>1.6291</v>
      </c>
      <c r="P89" s="8">
        <v>6</v>
      </c>
      <c r="Q89" s="17">
        <v>0</v>
      </c>
      <c r="R89">
        <v>0</v>
      </c>
    </row>
    <row r="90" spans="2:18" x14ac:dyDescent="0.3">
      <c r="B90" s="29" t="s">
        <v>15</v>
      </c>
      <c r="C90" s="30">
        <v>26483</v>
      </c>
      <c r="D90" s="31">
        <v>20727</v>
      </c>
      <c r="E90" s="32">
        <v>19.7606</v>
      </c>
      <c r="F90" s="30">
        <v>4069</v>
      </c>
      <c r="G90" s="32">
        <v>14.6373</v>
      </c>
      <c r="H90" s="30">
        <v>67</v>
      </c>
      <c r="I90" s="32">
        <v>22.949200000000001</v>
      </c>
      <c r="J90" s="30">
        <v>17833</v>
      </c>
      <c r="K90" s="32">
        <v>19.719100000000001</v>
      </c>
      <c r="L90" s="33">
        <v>1.079</v>
      </c>
      <c r="M90" s="31">
        <v>73626</v>
      </c>
      <c r="N90" s="34">
        <v>1287</v>
      </c>
      <c r="O90" s="33">
        <v>0.80310000000000004</v>
      </c>
      <c r="P90" s="31">
        <v>24523</v>
      </c>
      <c r="Q90" s="35">
        <v>483</v>
      </c>
      <c r="R90">
        <v>483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R90"/>
  <sheetViews>
    <sheetView showGridLines="0" workbookViewId="0">
      <selection activeCell="B2" sqref="B2"/>
    </sheetView>
  </sheetViews>
  <sheetFormatPr defaultRowHeight="14.4" x14ac:dyDescent="0.3"/>
  <cols>
    <col min="1" max="1" width="2.5546875" customWidth="1"/>
    <col min="2" max="2" width="27" bestFit="1" customWidth="1"/>
    <col min="3" max="3" width="8.21875" bestFit="1" customWidth="1"/>
    <col min="4" max="4" width="12" bestFit="1" customWidth="1"/>
    <col min="5" max="5" width="13.44140625" bestFit="1" customWidth="1"/>
    <col min="6" max="6" width="22" bestFit="1" customWidth="1"/>
    <col min="7" max="7" width="13.77734375" bestFit="1" customWidth="1"/>
    <col min="8" max="8" width="19.5546875" bestFit="1" customWidth="1"/>
    <col min="9" max="9" width="13.77734375" bestFit="1" customWidth="1"/>
    <col min="10" max="10" width="19.5546875" bestFit="1" customWidth="1"/>
    <col min="11" max="12" width="13.44140625" bestFit="1" customWidth="1"/>
    <col min="13" max="13" width="11" bestFit="1" customWidth="1"/>
    <col min="14" max="14" width="9.5546875" bestFit="1" customWidth="1"/>
    <col min="15" max="15" width="13.77734375" bestFit="1" customWidth="1"/>
    <col min="16" max="17" width="11.21875" bestFit="1" customWidth="1"/>
  </cols>
  <sheetData>
    <row r="6" spans="2:18" x14ac:dyDescent="0.3">
      <c r="B6" s="39" t="s">
        <v>22</v>
      </c>
    </row>
    <row r="7" spans="2:18" x14ac:dyDescent="0.3">
      <c r="B7" s="3"/>
    </row>
    <row r="8" spans="2:18" x14ac:dyDescent="0.3">
      <c r="B8" s="38" t="s">
        <v>24</v>
      </c>
    </row>
    <row r="9" spans="2:18" s="1" customFormat="1" ht="43.2" x14ac:dyDescent="0.3">
      <c r="B9" s="2" t="s">
        <v>0</v>
      </c>
      <c r="C9" s="23" t="s">
        <v>1</v>
      </c>
      <c r="D9" s="23" t="s">
        <v>16</v>
      </c>
      <c r="E9" s="23" t="s">
        <v>17</v>
      </c>
      <c r="F9" s="24" t="s">
        <v>18</v>
      </c>
      <c r="G9" s="24" t="s">
        <v>2</v>
      </c>
      <c r="H9" s="26" t="s">
        <v>19</v>
      </c>
      <c r="I9" s="26" t="s">
        <v>3</v>
      </c>
      <c r="J9" s="27" t="s">
        <v>20</v>
      </c>
      <c r="K9" s="27" t="s">
        <v>4</v>
      </c>
      <c r="L9" s="25" t="s">
        <v>5</v>
      </c>
      <c r="M9" s="25" t="s">
        <v>6</v>
      </c>
      <c r="N9" s="25" t="s">
        <v>7</v>
      </c>
      <c r="O9" s="28" t="s">
        <v>8</v>
      </c>
      <c r="P9" s="28" t="s">
        <v>9</v>
      </c>
      <c r="Q9" s="28" t="s">
        <v>10</v>
      </c>
    </row>
    <row r="10" spans="2:18" x14ac:dyDescent="0.3">
      <c r="B10" s="21" t="s">
        <v>12</v>
      </c>
      <c r="C10" s="4">
        <v>11224</v>
      </c>
      <c r="D10" s="5">
        <v>6970</v>
      </c>
      <c r="E10" s="6">
        <v>12.4443</v>
      </c>
      <c r="F10" s="10" t="s">
        <v>21</v>
      </c>
      <c r="G10" s="11" t="s">
        <v>21</v>
      </c>
      <c r="H10" s="4">
        <v>6871</v>
      </c>
      <c r="I10" s="6">
        <v>11.5639</v>
      </c>
      <c r="J10" s="4">
        <v>495</v>
      </c>
      <c r="K10" s="6">
        <v>27.6004</v>
      </c>
      <c r="L10" s="14">
        <v>2.1842000000000001</v>
      </c>
      <c r="M10" s="5">
        <v>32411</v>
      </c>
      <c r="N10" s="15">
        <v>5595</v>
      </c>
      <c r="O10" s="18" t="s">
        <v>21</v>
      </c>
      <c r="P10" s="19" t="s">
        <v>21</v>
      </c>
      <c r="Q10" s="20" t="s">
        <v>21</v>
      </c>
    </row>
    <row r="11" spans="2:18" x14ac:dyDescent="0.3">
      <c r="B11" s="22" t="s">
        <v>13</v>
      </c>
      <c r="C11" s="7">
        <v>5256</v>
      </c>
      <c r="D11" s="8">
        <v>2700</v>
      </c>
      <c r="E11" s="9">
        <v>47.840699999999998</v>
      </c>
      <c r="F11" s="7">
        <v>416</v>
      </c>
      <c r="G11" s="9">
        <v>35.729300000000002</v>
      </c>
      <c r="H11" s="7">
        <v>262</v>
      </c>
      <c r="I11" s="9">
        <v>9.1791999999999998</v>
      </c>
      <c r="J11" s="7">
        <v>2168</v>
      </c>
      <c r="K11" s="9">
        <v>59.8063</v>
      </c>
      <c r="L11" s="16">
        <v>1.3172999999999999</v>
      </c>
      <c r="M11" s="8">
        <v>10740</v>
      </c>
      <c r="N11" s="17">
        <v>575</v>
      </c>
      <c r="O11" s="16">
        <v>3.7113</v>
      </c>
      <c r="P11" s="8">
        <v>2831</v>
      </c>
      <c r="Q11" s="17">
        <v>216</v>
      </c>
      <c r="R11" t="s">
        <v>11</v>
      </c>
    </row>
    <row r="12" spans="2:18" x14ac:dyDescent="0.3">
      <c r="B12" s="22" t="s">
        <v>14</v>
      </c>
      <c r="C12" s="7">
        <v>35</v>
      </c>
      <c r="D12" s="8">
        <v>17</v>
      </c>
      <c r="E12" s="9">
        <v>59.6265</v>
      </c>
      <c r="F12" s="7">
        <v>2</v>
      </c>
      <c r="G12" s="9">
        <v>15.0951</v>
      </c>
      <c r="H12" s="12">
        <v>0</v>
      </c>
      <c r="I12" s="13">
        <v>0</v>
      </c>
      <c r="J12" s="7">
        <v>17</v>
      </c>
      <c r="K12" s="9">
        <v>57.883899999999997</v>
      </c>
      <c r="L12" s="16">
        <v>1.5975999999999999</v>
      </c>
      <c r="M12" s="8">
        <v>54</v>
      </c>
      <c r="N12" s="17">
        <v>4</v>
      </c>
      <c r="O12" s="16">
        <v>7.1499999999999994E-2</v>
      </c>
      <c r="P12" s="8">
        <v>16</v>
      </c>
      <c r="Q12" s="17">
        <v>0</v>
      </c>
      <c r="R12" t="s">
        <v>11</v>
      </c>
    </row>
    <row r="13" spans="2:18" x14ac:dyDescent="0.3">
      <c r="B13" s="29" t="s">
        <v>15</v>
      </c>
      <c r="C13" s="30">
        <v>25555</v>
      </c>
      <c r="D13" s="31">
        <v>23051</v>
      </c>
      <c r="E13" s="32">
        <v>9.8627000000000002</v>
      </c>
      <c r="F13" s="30">
        <v>4969</v>
      </c>
      <c r="G13" s="32">
        <v>14.989599999999999</v>
      </c>
      <c r="H13" s="30">
        <v>107</v>
      </c>
      <c r="I13" s="32">
        <v>15.3743</v>
      </c>
      <c r="J13" s="30">
        <v>18427</v>
      </c>
      <c r="K13" s="32">
        <v>8.3422000000000001</v>
      </c>
      <c r="L13" s="33">
        <v>1.3708</v>
      </c>
      <c r="M13" s="31">
        <v>72209</v>
      </c>
      <c r="N13" s="34">
        <v>1550</v>
      </c>
      <c r="O13" s="33">
        <v>0.97350000000000003</v>
      </c>
      <c r="P13" s="31">
        <v>23715</v>
      </c>
      <c r="Q13" s="35">
        <v>632</v>
      </c>
      <c r="R13" t="s">
        <v>11</v>
      </c>
    </row>
    <row r="15" spans="2:18" x14ac:dyDescent="0.3">
      <c r="B15" s="38" t="s">
        <v>25</v>
      </c>
    </row>
    <row r="16" spans="2:18" s="1" customFormat="1" ht="43.2" x14ac:dyDescent="0.3">
      <c r="B16" s="2" t="s">
        <v>0</v>
      </c>
      <c r="C16" s="23" t="s">
        <v>1</v>
      </c>
      <c r="D16" s="23" t="s">
        <v>16</v>
      </c>
      <c r="E16" s="23" t="s">
        <v>17</v>
      </c>
      <c r="F16" s="24" t="s">
        <v>18</v>
      </c>
      <c r="G16" s="24" t="s">
        <v>2</v>
      </c>
      <c r="H16" s="26" t="s">
        <v>19</v>
      </c>
      <c r="I16" s="26" t="s">
        <v>3</v>
      </c>
      <c r="J16" s="27" t="s">
        <v>20</v>
      </c>
      <c r="K16" s="27" t="s">
        <v>4</v>
      </c>
      <c r="L16" s="25" t="s">
        <v>5</v>
      </c>
      <c r="M16" s="25" t="s">
        <v>6</v>
      </c>
      <c r="N16" s="25" t="s">
        <v>7</v>
      </c>
      <c r="O16" s="28" t="s">
        <v>8</v>
      </c>
      <c r="P16" s="28" t="s">
        <v>9</v>
      </c>
      <c r="Q16" s="28" t="s">
        <v>10</v>
      </c>
    </row>
    <row r="17" spans="2:18" x14ac:dyDescent="0.3">
      <c r="B17" s="21" t="s">
        <v>12</v>
      </c>
      <c r="C17" s="4">
        <v>10043</v>
      </c>
      <c r="D17" s="5">
        <v>6794</v>
      </c>
      <c r="E17" s="6">
        <v>10.4696</v>
      </c>
      <c r="F17" s="10" t="s">
        <v>21</v>
      </c>
      <c r="G17" s="11" t="s">
        <v>21</v>
      </c>
      <c r="H17" s="4">
        <v>6630</v>
      </c>
      <c r="I17" s="6">
        <v>10.707599999999999</v>
      </c>
      <c r="J17" s="4">
        <v>401</v>
      </c>
      <c r="K17" s="6">
        <v>6.1978999999999997</v>
      </c>
      <c r="L17" s="14">
        <v>1.8596999999999999</v>
      </c>
      <c r="M17" s="5">
        <v>29543</v>
      </c>
      <c r="N17" s="15">
        <v>3645</v>
      </c>
      <c r="O17" s="18" t="s">
        <v>21</v>
      </c>
      <c r="P17" s="19" t="s">
        <v>21</v>
      </c>
      <c r="Q17" s="20" t="s">
        <v>21</v>
      </c>
    </row>
    <row r="18" spans="2:18" x14ac:dyDescent="0.3">
      <c r="B18" s="22" t="s">
        <v>13</v>
      </c>
      <c r="C18" s="7">
        <v>5773</v>
      </c>
      <c r="D18" s="8">
        <v>3488</v>
      </c>
      <c r="E18" s="9">
        <v>94.616900000000001</v>
      </c>
      <c r="F18" s="7">
        <v>762</v>
      </c>
      <c r="G18" s="9">
        <v>40.786299999999997</v>
      </c>
      <c r="H18" s="7">
        <v>183</v>
      </c>
      <c r="I18" s="9">
        <v>15.5059</v>
      </c>
      <c r="J18" s="7">
        <v>2738</v>
      </c>
      <c r="K18" s="9">
        <v>118.2852</v>
      </c>
      <c r="L18" s="16">
        <v>1.2162999999999999</v>
      </c>
      <c r="M18" s="8">
        <v>11240</v>
      </c>
      <c r="N18" s="17">
        <v>245</v>
      </c>
      <c r="O18" s="16">
        <v>1.1778999999999999</v>
      </c>
      <c r="P18" s="8">
        <v>2834</v>
      </c>
      <c r="Q18" s="17">
        <v>90</v>
      </c>
    </row>
    <row r="19" spans="2:18" x14ac:dyDescent="0.3">
      <c r="B19" s="22" t="s">
        <v>14</v>
      </c>
      <c r="C19" s="7">
        <v>8</v>
      </c>
      <c r="D19" s="8">
        <v>7</v>
      </c>
      <c r="E19" s="9">
        <v>116.3574</v>
      </c>
      <c r="F19" s="7">
        <v>1</v>
      </c>
      <c r="G19" s="9">
        <v>101.23399999999999</v>
      </c>
      <c r="H19" s="12">
        <v>0</v>
      </c>
      <c r="I19" s="13">
        <v>0</v>
      </c>
      <c r="J19" s="7">
        <v>6</v>
      </c>
      <c r="K19" s="9">
        <v>118.8779</v>
      </c>
      <c r="L19" s="16">
        <v>2.8816000000000002</v>
      </c>
      <c r="M19" s="8">
        <v>13</v>
      </c>
      <c r="N19" s="17">
        <v>1</v>
      </c>
      <c r="O19" s="16">
        <v>0.1004</v>
      </c>
      <c r="P19" s="8">
        <v>3</v>
      </c>
      <c r="Q19" s="17">
        <v>0</v>
      </c>
    </row>
    <row r="20" spans="2:18" x14ac:dyDescent="0.3">
      <c r="B20" s="29" t="s">
        <v>15</v>
      </c>
      <c r="C20" s="30">
        <v>27280</v>
      </c>
      <c r="D20" s="31">
        <v>22091</v>
      </c>
      <c r="E20" s="32">
        <v>18.048100000000002</v>
      </c>
      <c r="F20" s="30">
        <v>5318</v>
      </c>
      <c r="G20" s="32">
        <v>15.012600000000001</v>
      </c>
      <c r="H20" s="30">
        <v>109</v>
      </c>
      <c r="I20" s="32">
        <v>8.2308000000000003</v>
      </c>
      <c r="J20" s="30">
        <v>17487</v>
      </c>
      <c r="K20" s="32">
        <v>18.3704</v>
      </c>
      <c r="L20" s="33">
        <v>1.2941</v>
      </c>
      <c r="M20" s="31">
        <v>76706</v>
      </c>
      <c r="N20" s="34">
        <v>890</v>
      </c>
      <c r="O20" s="33">
        <v>0.76490000000000002</v>
      </c>
      <c r="P20" s="31">
        <v>25061</v>
      </c>
      <c r="Q20" s="35">
        <v>576</v>
      </c>
    </row>
    <row r="22" spans="2:18" x14ac:dyDescent="0.3">
      <c r="B22" s="38" t="s">
        <v>26</v>
      </c>
    </row>
    <row r="23" spans="2:18" s="1" customFormat="1" ht="43.2" x14ac:dyDescent="0.3">
      <c r="B23" s="2" t="s">
        <v>0</v>
      </c>
      <c r="C23" s="23" t="s">
        <v>1</v>
      </c>
      <c r="D23" s="23" t="s">
        <v>16</v>
      </c>
      <c r="E23" s="23" t="s">
        <v>17</v>
      </c>
      <c r="F23" s="24" t="s">
        <v>18</v>
      </c>
      <c r="G23" s="24" t="s">
        <v>2</v>
      </c>
      <c r="H23" s="26" t="s">
        <v>19</v>
      </c>
      <c r="I23" s="26" t="s">
        <v>3</v>
      </c>
      <c r="J23" s="27" t="s">
        <v>20</v>
      </c>
      <c r="K23" s="27" t="s">
        <v>4</v>
      </c>
      <c r="L23" s="25" t="s">
        <v>5</v>
      </c>
      <c r="M23" s="25" t="s">
        <v>6</v>
      </c>
      <c r="N23" s="25" t="s">
        <v>7</v>
      </c>
      <c r="O23" s="28" t="s">
        <v>8</v>
      </c>
      <c r="P23" s="28" t="s">
        <v>9</v>
      </c>
      <c r="Q23" s="28" t="s">
        <v>10</v>
      </c>
    </row>
    <row r="24" spans="2:18" x14ac:dyDescent="0.3">
      <c r="B24" s="21" t="s">
        <v>12</v>
      </c>
      <c r="C24" s="4">
        <v>10484</v>
      </c>
      <c r="D24" s="5">
        <v>6775</v>
      </c>
      <c r="E24" s="6">
        <v>15.7797</v>
      </c>
      <c r="F24" s="10" t="s">
        <v>21</v>
      </c>
      <c r="G24" s="11" t="s">
        <v>21</v>
      </c>
      <c r="H24" s="4">
        <v>6279</v>
      </c>
      <c r="I24" s="6">
        <v>9.3440999999999992</v>
      </c>
      <c r="J24" s="4">
        <v>657</v>
      </c>
      <c r="K24" s="6">
        <v>75.795100000000005</v>
      </c>
      <c r="L24" s="14">
        <v>1.6933</v>
      </c>
      <c r="M24" s="5">
        <v>29632</v>
      </c>
      <c r="N24" s="15">
        <v>3638</v>
      </c>
      <c r="O24" s="18" t="s">
        <v>21</v>
      </c>
      <c r="P24" s="19" t="s">
        <v>21</v>
      </c>
      <c r="Q24" s="20" t="s">
        <v>21</v>
      </c>
    </row>
    <row r="25" spans="2:18" x14ac:dyDescent="0.3">
      <c r="B25" s="22" t="s">
        <v>13</v>
      </c>
      <c r="C25" s="7">
        <v>6895</v>
      </c>
      <c r="D25" s="8">
        <v>4212</v>
      </c>
      <c r="E25" s="9">
        <v>98.228800000000007</v>
      </c>
      <c r="F25" s="7">
        <v>1013</v>
      </c>
      <c r="G25" s="9">
        <v>86.897300000000001</v>
      </c>
      <c r="H25" s="7">
        <v>66</v>
      </c>
      <c r="I25" s="9">
        <v>19.3721</v>
      </c>
      <c r="J25" s="7">
        <v>3253</v>
      </c>
      <c r="K25" s="9">
        <v>103.0735</v>
      </c>
      <c r="L25" s="16">
        <v>1.0032000000000001</v>
      </c>
      <c r="M25" s="8">
        <v>12102</v>
      </c>
      <c r="N25" s="17">
        <v>112</v>
      </c>
      <c r="O25" s="16">
        <v>0.47060000000000002</v>
      </c>
      <c r="P25" s="8">
        <v>3111</v>
      </c>
      <c r="Q25" s="17">
        <v>45</v>
      </c>
    </row>
    <row r="26" spans="2:18" x14ac:dyDescent="0.3">
      <c r="B26" s="22" t="s">
        <v>14</v>
      </c>
      <c r="C26" s="7">
        <v>36</v>
      </c>
      <c r="D26" s="8">
        <v>19</v>
      </c>
      <c r="E26" s="9">
        <v>142.1139</v>
      </c>
      <c r="F26" s="7">
        <v>5</v>
      </c>
      <c r="G26" s="9">
        <v>125.13590000000001</v>
      </c>
      <c r="H26" s="12">
        <v>0</v>
      </c>
      <c r="I26" s="13">
        <v>0</v>
      </c>
      <c r="J26" s="7">
        <v>14</v>
      </c>
      <c r="K26" s="9">
        <v>148.17740000000001</v>
      </c>
      <c r="L26" s="16">
        <v>0.58220000000000005</v>
      </c>
      <c r="M26" s="8">
        <v>88</v>
      </c>
      <c r="N26" s="17">
        <v>1</v>
      </c>
      <c r="O26" s="16">
        <v>3.5700000000000003E-2</v>
      </c>
      <c r="P26" s="8">
        <v>29</v>
      </c>
      <c r="Q26" s="17">
        <v>0</v>
      </c>
    </row>
    <row r="27" spans="2:18" x14ac:dyDescent="0.3">
      <c r="B27" s="29" t="s">
        <v>15</v>
      </c>
      <c r="C27" s="30">
        <v>28194</v>
      </c>
      <c r="D27" s="31">
        <v>23248</v>
      </c>
      <c r="E27" s="32">
        <v>21.081</v>
      </c>
      <c r="F27" s="30">
        <v>5728</v>
      </c>
      <c r="G27" s="32">
        <v>15.0359</v>
      </c>
      <c r="H27" s="30">
        <v>98</v>
      </c>
      <c r="I27" s="32">
        <v>8.1542999999999992</v>
      </c>
      <c r="J27" s="30">
        <v>18354</v>
      </c>
      <c r="K27" s="32">
        <v>22.185300000000002</v>
      </c>
      <c r="L27" s="33">
        <v>1.0734999999999999</v>
      </c>
      <c r="M27" s="31">
        <v>74751</v>
      </c>
      <c r="N27" s="34">
        <v>874</v>
      </c>
      <c r="O27" s="33">
        <v>0.73370000000000002</v>
      </c>
      <c r="P27" s="31">
        <v>25327</v>
      </c>
      <c r="Q27" s="35">
        <v>469</v>
      </c>
    </row>
    <row r="29" spans="2:18" x14ac:dyDescent="0.3">
      <c r="B29" s="38" t="s">
        <v>27</v>
      </c>
    </row>
    <row r="30" spans="2:18" s="1" customFormat="1" ht="43.2" x14ac:dyDescent="0.3">
      <c r="B30" s="2" t="s">
        <v>0</v>
      </c>
      <c r="C30" s="23" t="s">
        <v>1</v>
      </c>
      <c r="D30" s="23" t="s">
        <v>16</v>
      </c>
      <c r="E30" s="23" t="s">
        <v>17</v>
      </c>
      <c r="F30" s="24" t="s">
        <v>18</v>
      </c>
      <c r="G30" s="24" t="s">
        <v>2</v>
      </c>
      <c r="H30" s="26" t="s">
        <v>19</v>
      </c>
      <c r="I30" s="26" t="s">
        <v>3</v>
      </c>
      <c r="J30" s="27" t="s">
        <v>20</v>
      </c>
      <c r="K30" s="27" t="s">
        <v>4</v>
      </c>
      <c r="L30" s="25" t="s">
        <v>5</v>
      </c>
      <c r="M30" s="25" t="s">
        <v>6</v>
      </c>
      <c r="N30" s="25" t="s">
        <v>7</v>
      </c>
      <c r="O30" s="28" t="s">
        <v>8</v>
      </c>
      <c r="P30" s="28" t="s">
        <v>9</v>
      </c>
      <c r="Q30" s="28" t="s">
        <v>10</v>
      </c>
    </row>
    <row r="31" spans="2:18" x14ac:dyDescent="0.3">
      <c r="B31" s="21" t="s">
        <v>12</v>
      </c>
      <c r="C31" s="4">
        <v>10903</v>
      </c>
      <c r="D31" s="5">
        <v>6954</v>
      </c>
      <c r="E31" s="6">
        <v>14.4397</v>
      </c>
      <c r="F31" s="10" t="s">
        <v>21</v>
      </c>
      <c r="G31" s="11" t="s">
        <v>21</v>
      </c>
      <c r="H31" s="4">
        <v>6106</v>
      </c>
      <c r="I31" s="6">
        <v>8.5794999999999995</v>
      </c>
      <c r="J31" s="4">
        <v>993</v>
      </c>
      <c r="K31" s="6">
        <v>50.074199999999998</v>
      </c>
      <c r="L31" s="14">
        <v>2.1690999999999998</v>
      </c>
      <c r="M31" s="5">
        <v>30409</v>
      </c>
      <c r="N31" s="15">
        <v>5030</v>
      </c>
      <c r="O31" s="18" t="s">
        <v>21</v>
      </c>
      <c r="P31" s="19" t="s">
        <v>21</v>
      </c>
      <c r="Q31" s="20" t="s">
        <v>21</v>
      </c>
    </row>
    <row r="32" spans="2:18" x14ac:dyDescent="0.3">
      <c r="B32" s="22" t="s">
        <v>13</v>
      </c>
      <c r="C32" s="7">
        <v>7452</v>
      </c>
      <c r="D32" s="8">
        <v>5011</v>
      </c>
      <c r="E32" s="9">
        <v>103.9635</v>
      </c>
      <c r="F32" s="7">
        <v>1287</v>
      </c>
      <c r="G32" s="9">
        <v>74.594499999999996</v>
      </c>
      <c r="H32" s="7">
        <v>21</v>
      </c>
      <c r="I32" s="9">
        <v>19.9466</v>
      </c>
      <c r="J32" s="7">
        <v>4254</v>
      </c>
      <c r="K32" s="9">
        <v>120.0805</v>
      </c>
      <c r="L32" s="16">
        <v>1.4444999999999999</v>
      </c>
      <c r="M32" s="8">
        <v>15955</v>
      </c>
      <c r="N32" s="17">
        <v>277</v>
      </c>
      <c r="O32" s="16">
        <v>8.6</v>
      </c>
      <c r="P32" s="8">
        <v>5497</v>
      </c>
      <c r="Q32" s="17">
        <v>1819</v>
      </c>
      <c r="R32" t="s">
        <v>11</v>
      </c>
    </row>
    <row r="33" spans="2:18" x14ac:dyDescent="0.3">
      <c r="B33" s="22" t="s">
        <v>14</v>
      </c>
      <c r="C33" s="7">
        <v>14</v>
      </c>
      <c r="D33" s="8">
        <v>37</v>
      </c>
      <c r="E33" s="9">
        <v>101.8563</v>
      </c>
      <c r="F33" s="7">
        <v>11</v>
      </c>
      <c r="G33" s="9">
        <v>114.2328</v>
      </c>
      <c r="H33" s="12">
        <v>0</v>
      </c>
      <c r="I33" s="13">
        <v>0</v>
      </c>
      <c r="J33" s="7">
        <v>26</v>
      </c>
      <c r="K33" s="9">
        <v>96.620099999999994</v>
      </c>
      <c r="L33" s="16">
        <v>1.6012</v>
      </c>
      <c r="M33" s="8">
        <v>24</v>
      </c>
      <c r="N33" s="17">
        <v>0</v>
      </c>
      <c r="O33" s="16">
        <v>0.24779999999999999</v>
      </c>
      <c r="P33" s="8">
        <v>13</v>
      </c>
      <c r="Q33" s="17">
        <v>0</v>
      </c>
      <c r="R33" t="s">
        <v>11</v>
      </c>
    </row>
    <row r="34" spans="2:18" x14ac:dyDescent="0.3">
      <c r="B34" s="29" t="s">
        <v>15</v>
      </c>
      <c r="C34" s="30">
        <v>24088</v>
      </c>
      <c r="D34" s="31">
        <v>20356</v>
      </c>
      <c r="E34" s="32">
        <v>8.3917000000000002</v>
      </c>
      <c r="F34" s="30">
        <v>5476</v>
      </c>
      <c r="G34" s="32">
        <v>16.460899999999999</v>
      </c>
      <c r="H34" s="30">
        <v>79</v>
      </c>
      <c r="I34" s="32">
        <v>13.3179</v>
      </c>
      <c r="J34" s="30">
        <v>15769</v>
      </c>
      <c r="K34" s="32">
        <v>5.2840999999999996</v>
      </c>
      <c r="L34" s="33">
        <v>1.3666</v>
      </c>
      <c r="M34" s="31">
        <v>65362</v>
      </c>
      <c r="N34" s="34">
        <v>1035</v>
      </c>
      <c r="O34" s="33">
        <v>1.2128000000000001</v>
      </c>
      <c r="P34" s="31">
        <v>21830</v>
      </c>
      <c r="Q34" s="35">
        <v>674</v>
      </c>
      <c r="R34" t="s">
        <v>11</v>
      </c>
    </row>
    <row r="36" spans="2:18" x14ac:dyDescent="0.3">
      <c r="B36" s="38" t="s">
        <v>28</v>
      </c>
    </row>
    <row r="37" spans="2:18" s="1" customFormat="1" ht="43.2" x14ac:dyDescent="0.3">
      <c r="B37" s="2" t="s">
        <v>0</v>
      </c>
      <c r="C37" s="23" t="s">
        <v>1</v>
      </c>
      <c r="D37" s="23" t="s">
        <v>16</v>
      </c>
      <c r="E37" s="23" t="s">
        <v>17</v>
      </c>
      <c r="F37" s="24" t="s">
        <v>18</v>
      </c>
      <c r="G37" s="24" t="s">
        <v>2</v>
      </c>
      <c r="H37" s="26" t="s">
        <v>19</v>
      </c>
      <c r="I37" s="26" t="s">
        <v>3</v>
      </c>
      <c r="J37" s="27" t="s">
        <v>20</v>
      </c>
      <c r="K37" s="27" t="s">
        <v>4</v>
      </c>
      <c r="L37" s="25" t="s">
        <v>5</v>
      </c>
      <c r="M37" s="25" t="s">
        <v>6</v>
      </c>
      <c r="N37" s="25" t="s">
        <v>7</v>
      </c>
      <c r="O37" s="28" t="s">
        <v>8</v>
      </c>
      <c r="P37" s="28" t="s">
        <v>9</v>
      </c>
      <c r="Q37" s="28" t="s">
        <v>10</v>
      </c>
    </row>
    <row r="38" spans="2:18" x14ac:dyDescent="0.3">
      <c r="B38" s="21" t="s">
        <v>12</v>
      </c>
      <c r="C38" s="4">
        <v>12203</v>
      </c>
      <c r="D38" s="5">
        <v>7579</v>
      </c>
      <c r="E38" s="6">
        <v>8.5593000000000004</v>
      </c>
      <c r="F38" s="10" t="s">
        <v>21</v>
      </c>
      <c r="G38" s="11" t="s">
        <v>21</v>
      </c>
      <c r="H38" s="4">
        <v>7158</v>
      </c>
      <c r="I38" s="6">
        <v>8.8841000000000001</v>
      </c>
      <c r="J38" s="4">
        <v>493</v>
      </c>
      <c r="K38" s="6">
        <v>3.9194</v>
      </c>
      <c r="L38" s="14">
        <v>1.8684000000000001</v>
      </c>
      <c r="M38" s="5">
        <v>34185</v>
      </c>
      <c r="N38" s="15">
        <v>5498</v>
      </c>
      <c r="O38" s="18" t="s">
        <v>21</v>
      </c>
      <c r="P38" s="19" t="s">
        <v>21</v>
      </c>
      <c r="Q38" s="20" t="s">
        <v>21</v>
      </c>
    </row>
    <row r="39" spans="2:18" x14ac:dyDescent="0.3">
      <c r="B39" s="22" t="s">
        <v>13</v>
      </c>
      <c r="C39" s="7">
        <v>10970</v>
      </c>
      <c r="D39" s="8">
        <v>9970</v>
      </c>
      <c r="E39" s="9">
        <v>55.554099999999998</v>
      </c>
      <c r="F39" s="7">
        <v>1960</v>
      </c>
      <c r="G39" s="9">
        <v>72.657700000000006</v>
      </c>
      <c r="H39" s="7">
        <v>44</v>
      </c>
      <c r="I39" s="9">
        <v>49.128999999999998</v>
      </c>
      <c r="J39" s="7">
        <v>8080</v>
      </c>
      <c r="K39" s="9">
        <v>51.521799999999999</v>
      </c>
      <c r="L39" s="16">
        <v>1.306</v>
      </c>
      <c r="M39" s="8">
        <v>23245</v>
      </c>
      <c r="N39" s="17">
        <v>385</v>
      </c>
      <c r="O39" s="16">
        <v>3.0520999999999998</v>
      </c>
      <c r="P39" s="8">
        <v>8289</v>
      </c>
      <c r="Q39" s="17">
        <v>866</v>
      </c>
    </row>
    <row r="40" spans="2:18" x14ac:dyDescent="0.3">
      <c r="B40" s="22" t="s">
        <v>14</v>
      </c>
      <c r="C40" s="7">
        <v>14</v>
      </c>
      <c r="D40" s="8">
        <v>19</v>
      </c>
      <c r="E40" s="9">
        <v>210.80070000000001</v>
      </c>
      <c r="F40" s="7">
        <v>7</v>
      </c>
      <c r="G40" s="9">
        <v>168.94739999999999</v>
      </c>
      <c r="H40" s="12">
        <v>0</v>
      </c>
      <c r="I40" s="13">
        <v>0</v>
      </c>
      <c r="J40" s="7">
        <v>14</v>
      </c>
      <c r="K40" s="9">
        <v>201.62280000000001</v>
      </c>
      <c r="L40" s="16">
        <v>2.1347999999999998</v>
      </c>
      <c r="M40" s="8">
        <v>29</v>
      </c>
      <c r="N40" s="17">
        <v>1</v>
      </c>
      <c r="O40" s="16">
        <v>2.6100000000000002E-2</v>
      </c>
      <c r="P40" s="8">
        <v>11</v>
      </c>
      <c r="Q40" s="17">
        <v>0</v>
      </c>
    </row>
    <row r="41" spans="2:18" x14ac:dyDescent="0.3">
      <c r="B41" s="29" t="s">
        <v>15</v>
      </c>
      <c r="C41" s="30">
        <v>25139</v>
      </c>
      <c r="D41" s="31">
        <v>20213</v>
      </c>
      <c r="E41" s="32">
        <v>8.9539000000000009</v>
      </c>
      <c r="F41" s="30">
        <v>3955</v>
      </c>
      <c r="G41" s="32">
        <v>19.402899999999999</v>
      </c>
      <c r="H41" s="30">
        <v>134</v>
      </c>
      <c r="I41" s="32">
        <v>15.5182</v>
      </c>
      <c r="J41" s="30">
        <v>16303</v>
      </c>
      <c r="K41" s="32">
        <v>6.3657000000000004</v>
      </c>
      <c r="L41" s="33">
        <v>1.3247</v>
      </c>
      <c r="M41" s="31">
        <v>67039</v>
      </c>
      <c r="N41" s="34">
        <v>1001</v>
      </c>
      <c r="O41" s="33">
        <v>1.0083</v>
      </c>
      <c r="P41" s="31">
        <v>22203</v>
      </c>
      <c r="Q41" s="35">
        <v>507</v>
      </c>
    </row>
    <row r="43" spans="2:18" x14ac:dyDescent="0.3">
      <c r="B43" s="38" t="s">
        <v>29</v>
      </c>
    </row>
    <row r="44" spans="2:18" s="1" customFormat="1" ht="43.2" x14ac:dyDescent="0.3">
      <c r="B44" s="2" t="s">
        <v>0</v>
      </c>
      <c r="C44" s="23" t="s">
        <v>1</v>
      </c>
      <c r="D44" s="23" t="s">
        <v>16</v>
      </c>
      <c r="E44" s="23" t="s">
        <v>17</v>
      </c>
      <c r="F44" s="24" t="s">
        <v>18</v>
      </c>
      <c r="G44" s="24" t="s">
        <v>2</v>
      </c>
      <c r="H44" s="26" t="s">
        <v>19</v>
      </c>
      <c r="I44" s="26" t="s">
        <v>3</v>
      </c>
      <c r="J44" s="27" t="s">
        <v>20</v>
      </c>
      <c r="K44" s="27" t="s">
        <v>4</v>
      </c>
      <c r="L44" s="25" t="s">
        <v>5</v>
      </c>
      <c r="M44" s="25" t="s">
        <v>6</v>
      </c>
      <c r="N44" s="25" t="s">
        <v>7</v>
      </c>
      <c r="O44" s="28" t="s">
        <v>8</v>
      </c>
      <c r="P44" s="28" t="s">
        <v>9</v>
      </c>
      <c r="Q44" s="28" t="s">
        <v>10</v>
      </c>
    </row>
    <row r="45" spans="2:18" x14ac:dyDescent="0.3">
      <c r="B45" s="21" t="s">
        <v>12</v>
      </c>
      <c r="C45" s="4">
        <v>10703</v>
      </c>
      <c r="D45" s="5">
        <v>5743</v>
      </c>
      <c r="E45" s="6">
        <v>6.3433000000000002</v>
      </c>
      <c r="F45" s="10" t="s">
        <v>21</v>
      </c>
      <c r="G45" s="11" t="s">
        <v>21</v>
      </c>
      <c r="H45" s="4">
        <v>5462</v>
      </c>
      <c r="I45" s="6">
        <v>6.7477999999999998</v>
      </c>
      <c r="J45" s="4">
        <v>459</v>
      </c>
      <c r="K45" s="6">
        <v>1.4835</v>
      </c>
      <c r="L45" s="14">
        <v>1.8447</v>
      </c>
      <c r="M45" s="5">
        <v>29579</v>
      </c>
      <c r="N45" s="15">
        <v>4709</v>
      </c>
      <c r="O45" s="18" t="s">
        <v>21</v>
      </c>
      <c r="P45" s="19" t="s">
        <v>21</v>
      </c>
      <c r="Q45" s="20" t="s">
        <v>21</v>
      </c>
    </row>
    <row r="46" spans="2:18" x14ac:dyDescent="0.3">
      <c r="B46" s="22" t="s">
        <v>13</v>
      </c>
      <c r="C46" s="7">
        <v>8509</v>
      </c>
      <c r="D46" s="8">
        <v>5474</v>
      </c>
      <c r="E46" s="9">
        <v>12.281499999999999</v>
      </c>
      <c r="F46" s="7">
        <v>1679</v>
      </c>
      <c r="G46" s="9">
        <v>21.7501</v>
      </c>
      <c r="H46" s="7">
        <v>31</v>
      </c>
      <c r="I46" s="9">
        <v>15.3011</v>
      </c>
      <c r="J46" s="7">
        <v>3902</v>
      </c>
      <c r="K46" s="9">
        <v>8.6392000000000007</v>
      </c>
      <c r="L46" s="16">
        <v>1.1986000000000001</v>
      </c>
      <c r="M46" s="8">
        <v>18294</v>
      </c>
      <c r="N46" s="17">
        <v>489</v>
      </c>
      <c r="O46" s="16">
        <v>2.5750999999999999</v>
      </c>
      <c r="P46" s="8">
        <v>6644</v>
      </c>
      <c r="Q46" s="17">
        <v>272</v>
      </c>
    </row>
    <row r="47" spans="2:18" x14ac:dyDescent="0.3">
      <c r="B47" s="22" t="s">
        <v>14</v>
      </c>
      <c r="C47" s="7">
        <v>7</v>
      </c>
      <c r="D47" s="8">
        <v>8</v>
      </c>
      <c r="E47" s="9">
        <v>9.4359999999999999</v>
      </c>
      <c r="F47" s="7">
        <v>2</v>
      </c>
      <c r="G47" s="9">
        <v>20.860800000000001</v>
      </c>
      <c r="H47" s="12">
        <v>0</v>
      </c>
      <c r="I47" s="13">
        <v>0</v>
      </c>
      <c r="J47" s="7">
        <v>6</v>
      </c>
      <c r="K47" s="9">
        <v>5.6276999999999999</v>
      </c>
      <c r="L47" s="16">
        <v>1.0556000000000001</v>
      </c>
      <c r="M47" s="8">
        <v>21</v>
      </c>
      <c r="N47" s="17">
        <v>0</v>
      </c>
      <c r="O47" s="16">
        <v>0.73540000000000005</v>
      </c>
      <c r="P47" s="8">
        <v>7</v>
      </c>
      <c r="Q47" s="17">
        <v>0</v>
      </c>
    </row>
    <row r="48" spans="2:18" x14ac:dyDescent="0.3">
      <c r="B48" s="29" t="s">
        <v>15</v>
      </c>
      <c r="C48" s="30">
        <v>18634</v>
      </c>
      <c r="D48" s="31">
        <v>14189</v>
      </c>
      <c r="E48" s="32">
        <v>6.7081</v>
      </c>
      <c r="F48" s="30">
        <v>4232</v>
      </c>
      <c r="G48" s="32">
        <v>15.571</v>
      </c>
      <c r="H48" s="30">
        <v>80</v>
      </c>
      <c r="I48" s="32">
        <v>8.6157000000000004</v>
      </c>
      <c r="J48" s="30">
        <v>10307</v>
      </c>
      <c r="K48" s="32">
        <v>3.0682</v>
      </c>
      <c r="L48" s="33">
        <v>1.1587000000000001</v>
      </c>
      <c r="M48" s="31">
        <v>47294</v>
      </c>
      <c r="N48" s="34">
        <v>869</v>
      </c>
      <c r="O48" s="33">
        <v>0.85809999999999997</v>
      </c>
      <c r="P48" s="31">
        <v>15932</v>
      </c>
      <c r="Q48" s="35">
        <v>486</v>
      </c>
    </row>
    <row r="50" spans="2:17" x14ac:dyDescent="0.3">
      <c r="B50" s="38" t="s">
        <v>30</v>
      </c>
    </row>
    <row r="51" spans="2:17" s="1" customFormat="1" ht="43.2" x14ac:dyDescent="0.3">
      <c r="B51" s="2" t="s">
        <v>0</v>
      </c>
      <c r="C51" s="23" t="s">
        <v>1</v>
      </c>
      <c r="D51" s="23" t="s">
        <v>16</v>
      </c>
      <c r="E51" s="23" t="s">
        <v>17</v>
      </c>
      <c r="F51" s="24" t="s">
        <v>18</v>
      </c>
      <c r="G51" s="24" t="s">
        <v>2</v>
      </c>
      <c r="H51" s="26" t="s">
        <v>19</v>
      </c>
      <c r="I51" s="26" t="s">
        <v>3</v>
      </c>
      <c r="J51" s="27" t="s">
        <v>20</v>
      </c>
      <c r="K51" s="27" t="s">
        <v>4</v>
      </c>
      <c r="L51" s="25" t="s">
        <v>5</v>
      </c>
      <c r="M51" s="25" t="s">
        <v>6</v>
      </c>
      <c r="N51" s="25" t="s">
        <v>7</v>
      </c>
      <c r="O51" s="28" t="s">
        <v>8</v>
      </c>
      <c r="P51" s="28" t="s">
        <v>9</v>
      </c>
      <c r="Q51" s="28" t="s">
        <v>10</v>
      </c>
    </row>
    <row r="52" spans="2:17" x14ac:dyDescent="0.3">
      <c r="B52" s="21" t="s">
        <v>12</v>
      </c>
      <c r="C52" s="4">
        <v>12623</v>
      </c>
      <c r="D52" s="5">
        <v>7654</v>
      </c>
      <c r="E52" s="6">
        <v>6.8266999999999998</v>
      </c>
      <c r="F52" s="10" t="s">
        <v>21</v>
      </c>
      <c r="G52" s="11" t="s">
        <v>21</v>
      </c>
      <c r="H52" s="4">
        <v>7230</v>
      </c>
      <c r="I52" s="6">
        <v>7.0853000000000002</v>
      </c>
      <c r="J52" s="4">
        <v>615</v>
      </c>
      <c r="K52" s="6">
        <v>3.5251999999999999</v>
      </c>
      <c r="L52" s="14">
        <v>1.9421999999999999</v>
      </c>
      <c r="M52" s="5">
        <v>35375</v>
      </c>
      <c r="N52" s="15">
        <v>5365</v>
      </c>
      <c r="O52" s="18" t="s">
        <v>21</v>
      </c>
      <c r="P52" s="19" t="s">
        <v>21</v>
      </c>
      <c r="Q52" s="20" t="s">
        <v>21</v>
      </c>
    </row>
    <row r="53" spans="2:17" x14ac:dyDescent="0.3">
      <c r="B53" s="22" t="s">
        <v>13</v>
      </c>
      <c r="C53" s="7">
        <v>11002</v>
      </c>
      <c r="D53" s="8">
        <v>6335</v>
      </c>
      <c r="E53" s="9">
        <v>8.4329000000000001</v>
      </c>
      <c r="F53" s="7">
        <v>1672</v>
      </c>
      <c r="G53" s="9">
        <v>16.609300000000001</v>
      </c>
      <c r="H53" s="7">
        <v>36</v>
      </c>
      <c r="I53" s="9">
        <v>8.0183999999999997</v>
      </c>
      <c r="J53" s="7">
        <v>4861</v>
      </c>
      <c r="K53" s="9">
        <v>5.8760000000000003</v>
      </c>
      <c r="L53" s="16">
        <v>1.8931</v>
      </c>
      <c r="M53" s="8">
        <v>24213</v>
      </c>
      <c r="N53" s="17">
        <v>815</v>
      </c>
      <c r="O53" s="16">
        <v>2.2755000000000001</v>
      </c>
      <c r="P53" s="8">
        <v>8133</v>
      </c>
      <c r="Q53" s="17">
        <v>472</v>
      </c>
    </row>
    <row r="54" spans="2:17" x14ac:dyDescent="0.3">
      <c r="B54" s="22" t="s">
        <v>14</v>
      </c>
      <c r="C54" s="7">
        <v>10</v>
      </c>
      <c r="D54" s="8">
        <v>7</v>
      </c>
      <c r="E54" s="9">
        <v>7.6688999999999998</v>
      </c>
      <c r="F54" s="7">
        <v>2</v>
      </c>
      <c r="G54" s="9">
        <v>12.9482</v>
      </c>
      <c r="H54" s="12">
        <v>0</v>
      </c>
      <c r="I54" s="13">
        <v>0</v>
      </c>
      <c r="J54" s="7">
        <v>5</v>
      </c>
      <c r="K54" s="9">
        <v>5.5571999999999999</v>
      </c>
      <c r="L54" s="16">
        <v>2.0960999999999999</v>
      </c>
      <c r="M54" s="8">
        <v>22</v>
      </c>
      <c r="N54" s="17">
        <v>1</v>
      </c>
      <c r="O54" s="16">
        <v>4.3099999999999999E-2</v>
      </c>
      <c r="P54" s="8">
        <v>8</v>
      </c>
      <c r="Q54" s="17">
        <v>0</v>
      </c>
    </row>
    <row r="55" spans="2:17" x14ac:dyDescent="0.3">
      <c r="B55" s="29" t="s">
        <v>15</v>
      </c>
      <c r="C55" s="30">
        <v>25102</v>
      </c>
      <c r="D55" s="31">
        <v>16911</v>
      </c>
      <c r="E55" s="32">
        <v>5.6238999999999999</v>
      </c>
      <c r="F55" s="30">
        <v>4304</v>
      </c>
      <c r="G55" s="32">
        <v>13.739599999999999</v>
      </c>
      <c r="H55" s="30">
        <v>114</v>
      </c>
      <c r="I55" s="32">
        <v>9.4099000000000004</v>
      </c>
      <c r="J55" s="30">
        <v>13532</v>
      </c>
      <c r="K55" s="32">
        <v>2.7997000000000001</v>
      </c>
      <c r="L55" s="33">
        <v>1.3774999999999999</v>
      </c>
      <c r="M55" s="31">
        <v>62868</v>
      </c>
      <c r="N55" s="34">
        <v>1271</v>
      </c>
      <c r="O55" s="33">
        <v>1.0759000000000001</v>
      </c>
      <c r="P55" s="31">
        <v>21655</v>
      </c>
      <c r="Q55" s="35">
        <v>752</v>
      </c>
    </row>
    <row r="57" spans="2:17" x14ac:dyDescent="0.3">
      <c r="B57" s="38" t="s">
        <v>31</v>
      </c>
    </row>
    <row r="58" spans="2:17" s="1" customFormat="1" ht="43.2" x14ac:dyDescent="0.3">
      <c r="B58" s="2" t="s">
        <v>0</v>
      </c>
      <c r="C58" s="23" t="s">
        <v>1</v>
      </c>
      <c r="D58" s="23" t="s">
        <v>16</v>
      </c>
      <c r="E58" s="23" t="s">
        <v>17</v>
      </c>
      <c r="F58" s="24" t="s">
        <v>18</v>
      </c>
      <c r="G58" s="24" t="s">
        <v>2</v>
      </c>
      <c r="H58" s="26" t="s">
        <v>19</v>
      </c>
      <c r="I58" s="26" t="s">
        <v>3</v>
      </c>
      <c r="J58" s="27" t="s">
        <v>20</v>
      </c>
      <c r="K58" s="27" t="s">
        <v>4</v>
      </c>
      <c r="L58" s="25" t="s">
        <v>5</v>
      </c>
      <c r="M58" s="25" t="s">
        <v>6</v>
      </c>
      <c r="N58" s="25" t="s">
        <v>7</v>
      </c>
      <c r="O58" s="28" t="s">
        <v>8</v>
      </c>
      <c r="P58" s="28" t="s">
        <v>9</v>
      </c>
      <c r="Q58" s="28" t="s">
        <v>10</v>
      </c>
    </row>
    <row r="59" spans="2:17" x14ac:dyDescent="0.3">
      <c r="B59" s="21" t="s">
        <v>12</v>
      </c>
      <c r="C59" s="4">
        <v>11791</v>
      </c>
      <c r="D59" s="5">
        <v>4981</v>
      </c>
      <c r="E59" s="6">
        <v>6.9428999999999998</v>
      </c>
      <c r="F59" s="10" t="s">
        <v>21</v>
      </c>
      <c r="G59" s="11" t="s">
        <v>21</v>
      </c>
      <c r="H59" s="4">
        <v>5364</v>
      </c>
      <c r="I59" s="6">
        <v>6.9164000000000003</v>
      </c>
      <c r="J59" s="4">
        <v>459</v>
      </c>
      <c r="K59" s="6">
        <v>4.6885000000000003</v>
      </c>
      <c r="L59" s="14">
        <v>2.3344999999999998</v>
      </c>
      <c r="M59" s="5">
        <v>31188</v>
      </c>
      <c r="N59" s="15">
        <v>5882</v>
      </c>
      <c r="O59" s="18" t="s">
        <v>21</v>
      </c>
      <c r="P59" s="19" t="s">
        <v>21</v>
      </c>
      <c r="Q59" s="20" t="s">
        <v>21</v>
      </c>
    </row>
    <row r="60" spans="2:17" x14ac:dyDescent="0.3">
      <c r="B60" s="22" t="s">
        <v>13</v>
      </c>
      <c r="C60" s="7">
        <v>10585</v>
      </c>
      <c r="D60" s="8">
        <v>6425</v>
      </c>
      <c r="E60" s="9">
        <v>8.2380999999999993</v>
      </c>
      <c r="F60" s="7">
        <v>1328</v>
      </c>
      <c r="G60" s="9">
        <v>16.8157</v>
      </c>
      <c r="H60" s="7">
        <v>31</v>
      </c>
      <c r="I60" s="9">
        <v>14.8432</v>
      </c>
      <c r="J60" s="7">
        <v>5232</v>
      </c>
      <c r="K60" s="9">
        <v>6.4199000000000002</v>
      </c>
      <c r="L60" s="16">
        <v>1.7253000000000001</v>
      </c>
      <c r="M60" s="8">
        <v>23683</v>
      </c>
      <c r="N60" s="17">
        <v>1134</v>
      </c>
      <c r="O60" s="16">
        <v>1.8691</v>
      </c>
      <c r="P60" s="8">
        <v>7800</v>
      </c>
      <c r="Q60" s="17">
        <v>328</v>
      </c>
    </row>
    <row r="61" spans="2:17" x14ac:dyDescent="0.3">
      <c r="B61" s="22" t="s">
        <v>14</v>
      </c>
      <c r="C61" s="7">
        <v>6</v>
      </c>
      <c r="D61" s="8">
        <v>2</v>
      </c>
      <c r="E61" s="9">
        <v>6.0826000000000002</v>
      </c>
      <c r="F61" s="7">
        <v>0</v>
      </c>
      <c r="G61" s="9">
        <v>0</v>
      </c>
      <c r="H61" s="12">
        <v>0</v>
      </c>
      <c r="I61" s="13">
        <v>0</v>
      </c>
      <c r="J61" s="7">
        <v>2</v>
      </c>
      <c r="K61" s="9">
        <v>6.0826000000000002</v>
      </c>
      <c r="L61" s="16">
        <v>3.3843000000000001</v>
      </c>
      <c r="M61" s="8">
        <v>11</v>
      </c>
      <c r="N61" s="17">
        <v>1</v>
      </c>
      <c r="O61" s="16">
        <v>1.276</v>
      </c>
      <c r="P61" s="8">
        <v>4</v>
      </c>
      <c r="Q61" s="17">
        <v>0</v>
      </c>
    </row>
    <row r="62" spans="2:17" x14ac:dyDescent="0.3">
      <c r="B62" s="29" t="s">
        <v>15</v>
      </c>
      <c r="C62" s="30">
        <v>21983</v>
      </c>
      <c r="D62" s="31">
        <v>16674</v>
      </c>
      <c r="E62" s="32">
        <v>6.3159999999999998</v>
      </c>
      <c r="F62" s="30">
        <v>3521</v>
      </c>
      <c r="G62" s="32">
        <v>14.5602</v>
      </c>
      <c r="H62" s="30">
        <v>38</v>
      </c>
      <c r="I62" s="32">
        <v>11.241099999999999</v>
      </c>
      <c r="J62" s="30">
        <v>13534</v>
      </c>
      <c r="K62" s="32">
        <v>4.1780999999999997</v>
      </c>
      <c r="L62" s="33">
        <v>1.4810000000000001</v>
      </c>
      <c r="M62" s="31">
        <v>55075</v>
      </c>
      <c r="N62" s="34">
        <v>1873</v>
      </c>
      <c r="O62" s="33">
        <v>1.4215</v>
      </c>
      <c r="P62" s="31">
        <v>19260</v>
      </c>
      <c r="Q62" s="35">
        <v>949</v>
      </c>
    </row>
    <row r="64" spans="2:17" x14ac:dyDescent="0.3">
      <c r="B64" s="38" t="s">
        <v>32</v>
      </c>
    </row>
    <row r="65" spans="2:17" s="1" customFormat="1" ht="43.2" x14ac:dyDescent="0.3">
      <c r="B65" s="2" t="s">
        <v>0</v>
      </c>
      <c r="C65" s="23" t="s">
        <v>1</v>
      </c>
      <c r="D65" s="23" t="s">
        <v>16</v>
      </c>
      <c r="E65" s="23" t="s">
        <v>17</v>
      </c>
      <c r="F65" s="24" t="s">
        <v>18</v>
      </c>
      <c r="G65" s="24" t="s">
        <v>2</v>
      </c>
      <c r="H65" s="26" t="s">
        <v>19</v>
      </c>
      <c r="I65" s="26" t="s">
        <v>3</v>
      </c>
      <c r="J65" s="27" t="s">
        <v>20</v>
      </c>
      <c r="K65" s="27" t="s">
        <v>4</v>
      </c>
      <c r="L65" s="25" t="s">
        <v>5</v>
      </c>
      <c r="M65" s="25" t="s">
        <v>6</v>
      </c>
      <c r="N65" s="25" t="s">
        <v>7</v>
      </c>
      <c r="O65" s="28" t="s">
        <v>8</v>
      </c>
      <c r="P65" s="28" t="s">
        <v>9</v>
      </c>
      <c r="Q65" s="28" t="s">
        <v>10</v>
      </c>
    </row>
    <row r="66" spans="2:17" x14ac:dyDescent="0.3">
      <c r="B66" s="21" t="s">
        <v>12</v>
      </c>
      <c r="C66" s="4">
        <v>19453</v>
      </c>
      <c r="D66" s="5">
        <v>8709</v>
      </c>
      <c r="E66" s="6">
        <v>10.4217</v>
      </c>
      <c r="F66" s="10" t="s">
        <v>21</v>
      </c>
      <c r="G66" s="11" t="s">
        <v>21</v>
      </c>
      <c r="H66" s="4">
        <v>8584</v>
      </c>
      <c r="I66" s="6">
        <v>10.753</v>
      </c>
      <c r="J66" s="4">
        <v>412</v>
      </c>
      <c r="K66" s="6">
        <v>0.88080000000000003</v>
      </c>
      <c r="L66" s="14">
        <v>1.6657</v>
      </c>
      <c r="M66" s="5">
        <v>47203</v>
      </c>
      <c r="N66" s="15">
        <v>10009</v>
      </c>
      <c r="O66" s="18" t="s">
        <v>21</v>
      </c>
      <c r="P66" s="19" t="s">
        <v>21</v>
      </c>
      <c r="Q66" s="20" t="s">
        <v>21</v>
      </c>
    </row>
    <row r="67" spans="2:17" x14ac:dyDescent="0.3">
      <c r="B67" s="22" t="s">
        <v>13</v>
      </c>
      <c r="C67" s="7">
        <v>11865</v>
      </c>
      <c r="D67" s="8">
        <v>6732</v>
      </c>
      <c r="E67" s="9">
        <v>13.935700000000001</v>
      </c>
      <c r="F67" s="7">
        <v>1929</v>
      </c>
      <c r="G67" s="9">
        <v>20.974499999999999</v>
      </c>
      <c r="H67" s="7">
        <v>44</v>
      </c>
      <c r="I67" s="9">
        <v>11.6517</v>
      </c>
      <c r="J67" s="7">
        <v>5042</v>
      </c>
      <c r="K67" s="9">
        <v>11.180899999999999</v>
      </c>
      <c r="L67" s="16">
        <v>1.0273000000000001</v>
      </c>
      <c r="M67" s="8">
        <v>21712</v>
      </c>
      <c r="N67" s="17">
        <v>634</v>
      </c>
      <c r="O67" s="16">
        <v>2.3058999999999998</v>
      </c>
      <c r="P67" s="8">
        <v>7631</v>
      </c>
      <c r="Q67" s="17">
        <v>768</v>
      </c>
    </row>
    <row r="68" spans="2:17" x14ac:dyDescent="0.3">
      <c r="B68" s="22" t="s">
        <v>14</v>
      </c>
      <c r="C68" s="7">
        <v>7</v>
      </c>
      <c r="D68" s="8">
        <v>1</v>
      </c>
      <c r="E68" s="9">
        <v>49.772599999999997</v>
      </c>
      <c r="F68" s="7">
        <v>1</v>
      </c>
      <c r="G68" s="9">
        <v>49.772599999999997</v>
      </c>
      <c r="H68" s="12">
        <v>0</v>
      </c>
      <c r="I68" s="13">
        <v>0</v>
      </c>
      <c r="J68" s="7">
        <v>0</v>
      </c>
      <c r="K68" s="9">
        <v>0</v>
      </c>
      <c r="L68" s="16">
        <v>1.2952999999999999</v>
      </c>
      <c r="M68" s="8">
        <v>8</v>
      </c>
      <c r="N68" s="17">
        <v>1</v>
      </c>
      <c r="O68" s="16">
        <v>4.7584999999999997</v>
      </c>
      <c r="P68" s="8">
        <v>4</v>
      </c>
      <c r="Q68" s="17">
        <v>1</v>
      </c>
    </row>
    <row r="69" spans="2:17" x14ac:dyDescent="0.3">
      <c r="B69" s="29" t="s">
        <v>15</v>
      </c>
      <c r="C69" s="30">
        <v>24728</v>
      </c>
      <c r="D69" s="31">
        <v>15814</v>
      </c>
      <c r="E69" s="32">
        <v>7.9356999999999998</v>
      </c>
      <c r="F69" s="30">
        <v>4190</v>
      </c>
      <c r="G69" s="32">
        <v>17.072500000000002</v>
      </c>
      <c r="H69" s="30">
        <v>27</v>
      </c>
      <c r="I69" s="32">
        <v>12.469099999999999</v>
      </c>
      <c r="J69" s="30">
        <v>12905</v>
      </c>
      <c r="K69" s="32">
        <v>4.4200999999999997</v>
      </c>
      <c r="L69" s="33">
        <v>1.1032</v>
      </c>
      <c r="M69" s="31">
        <v>53914</v>
      </c>
      <c r="N69" s="34">
        <v>1559</v>
      </c>
      <c r="O69" s="33">
        <v>0.71209999999999996</v>
      </c>
      <c r="P69" s="31">
        <v>20279</v>
      </c>
      <c r="Q69" s="35">
        <v>497</v>
      </c>
    </row>
    <row r="71" spans="2:17" x14ac:dyDescent="0.3">
      <c r="B71" s="38" t="s">
        <v>33</v>
      </c>
    </row>
    <row r="72" spans="2:17" s="1" customFormat="1" ht="43.2" x14ac:dyDescent="0.3">
      <c r="B72" s="2" t="s">
        <v>0</v>
      </c>
      <c r="C72" s="23" t="s">
        <v>1</v>
      </c>
      <c r="D72" s="23" t="s">
        <v>16</v>
      </c>
      <c r="E72" s="23" t="s">
        <v>17</v>
      </c>
      <c r="F72" s="24" t="s">
        <v>18</v>
      </c>
      <c r="G72" s="24" t="s">
        <v>2</v>
      </c>
      <c r="H72" s="26" t="s">
        <v>19</v>
      </c>
      <c r="I72" s="26" t="s">
        <v>3</v>
      </c>
      <c r="J72" s="27" t="s">
        <v>20</v>
      </c>
      <c r="K72" s="27" t="s">
        <v>4</v>
      </c>
      <c r="L72" s="25" t="s">
        <v>5</v>
      </c>
      <c r="M72" s="25" t="s">
        <v>6</v>
      </c>
      <c r="N72" s="25" t="s">
        <v>7</v>
      </c>
      <c r="O72" s="28" t="s">
        <v>8</v>
      </c>
      <c r="P72" s="28" t="s">
        <v>9</v>
      </c>
      <c r="Q72" s="28" t="s">
        <v>10</v>
      </c>
    </row>
    <row r="73" spans="2:17" x14ac:dyDescent="0.3">
      <c r="B73" s="21" t="s">
        <v>12</v>
      </c>
      <c r="C73" s="4">
        <v>16640</v>
      </c>
      <c r="D73" s="5">
        <v>9592</v>
      </c>
      <c r="E73" s="6">
        <v>8.9701000000000004</v>
      </c>
      <c r="F73" s="10" t="s">
        <v>21</v>
      </c>
      <c r="G73" s="11" t="s">
        <v>21</v>
      </c>
      <c r="H73" s="4">
        <v>9080</v>
      </c>
      <c r="I73" s="6">
        <v>9.0564</v>
      </c>
      <c r="J73" s="4">
        <v>653</v>
      </c>
      <c r="K73" s="6">
        <v>7.5282</v>
      </c>
      <c r="L73" s="14">
        <v>2.2427000000000001</v>
      </c>
      <c r="M73" s="5">
        <v>47892</v>
      </c>
      <c r="N73" s="15">
        <v>7773</v>
      </c>
      <c r="O73" s="18" t="s">
        <v>21</v>
      </c>
      <c r="P73" s="19" t="s">
        <v>21</v>
      </c>
      <c r="Q73" s="20" t="s">
        <v>21</v>
      </c>
    </row>
    <row r="74" spans="2:17" x14ac:dyDescent="0.3">
      <c r="B74" s="22" t="s">
        <v>13</v>
      </c>
      <c r="C74" s="7">
        <v>12156</v>
      </c>
      <c r="D74" s="8">
        <v>8450</v>
      </c>
      <c r="E74" s="9">
        <v>10.5548</v>
      </c>
      <c r="F74" s="7">
        <v>1928</v>
      </c>
      <c r="G74" s="9">
        <v>18.799800000000001</v>
      </c>
      <c r="H74" s="7">
        <v>47</v>
      </c>
      <c r="I74" s="9">
        <v>16.6723</v>
      </c>
      <c r="J74" s="7">
        <v>6802</v>
      </c>
      <c r="K74" s="9">
        <v>8.0205000000000002</v>
      </c>
      <c r="L74" s="16">
        <v>1.5741000000000001</v>
      </c>
      <c r="M74" s="8">
        <v>28335</v>
      </c>
      <c r="N74" s="17">
        <v>719</v>
      </c>
      <c r="O74" s="16">
        <v>2.3580999999999999</v>
      </c>
      <c r="P74" s="8">
        <v>9038</v>
      </c>
      <c r="Q74" s="17">
        <v>1133</v>
      </c>
    </row>
    <row r="75" spans="2:17" x14ac:dyDescent="0.3">
      <c r="B75" s="22" t="s">
        <v>14</v>
      </c>
      <c r="C75" s="7">
        <v>6</v>
      </c>
      <c r="D75" s="8">
        <v>6</v>
      </c>
      <c r="E75" s="9">
        <v>6.0675999999999997</v>
      </c>
      <c r="F75" s="7">
        <v>0</v>
      </c>
      <c r="G75" s="9">
        <v>0</v>
      </c>
      <c r="H75" s="12">
        <v>0</v>
      </c>
      <c r="I75" s="13">
        <v>0</v>
      </c>
      <c r="J75" s="7">
        <v>6</v>
      </c>
      <c r="K75" s="9">
        <v>6.0675999999999997</v>
      </c>
      <c r="L75" s="16">
        <v>0.41399999999999998</v>
      </c>
      <c r="M75" s="8">
        <v>18</v>
      </c>
      <c r="N75" s="17">
        <v>1</v>
      </c>
      <c r="O75" s="16">
        <v>0.69179999999999997</v>
      </c>
      <c r="P75" s="8">
        <v>6</v>
      </c>
      <c r="Q75" s="17">
        <v>0</v>
      </c>
    </row>
    <row r="76" spans="2:17" x14ac:dyDescent="0.3">
      <c r="B76" s="29" t="s">
        <v>15</v>
      </c>
      <c r="C76" s="30">
        <v>29917</v>
      </c>
      <c r="D76" s="31">
        <v>20460</v>
      </c>
      <c r="E76" s="32">
        <v>7.9626000000000001</v>
      </c>
      <c r="F76" s="30">
        <v>4810</v>
      </c>
      <c r="G76" s="32">
        <v>15.4084</v>
      </c>
      <c r="H76" s="30">
        <v>85</v>
      </c>
      <c r="I76" s="32">
        <v>11.116199999999999</v>
      </c>
      <c r="J76" s="30">
        <v>16620</v>
      </c>
      <c r="K76" s="32">
        <v>5.4161000000000001</v>
      </c>
      <c r="L76" s="33">
        <v>1.5223</v>
      </c>
      <c r="M76" s="31">
        <v>70525</v>
      </c>
      <c r="N76" s="34">
        <v>1604</v>
      </c>
      <c r="O76" s="33">
        <v>1.2291000000000001</v>
      </c>
      <c r="P76" s="31">
        <v>25796</v>
      </c>
      <c r="Q76" s="35">
        <v>1450</v>
      </c>
    </row>
    <row r="78" spans="2:17" x14ac:dyDescent="0.3">
      <c r="B78" s="38" t="s">
        <v>34</v>
      </c>
    </row>
    <row r="79" spans="2:17" s="1" customFormat="1" ht="43.2" x14ac:dyDescent="0.3">
      <c r="B79" s="2" t="s">
        <v>0</v>
      </c>
      <c r="C79" s="23" t="s">
        <v>1</v>
      </c>
      <c r="D79" s="23" t="s">
        <v>16</v>
      </c>
      <c r="E79" s="23" t="s">
        <v>17</v>
      </c>
      <c r="F79" s="24" t="s">
        <v>18</v>
      </c>
      <c r="G79" s="24" t="s">
        <v>2</v>
      </c>
      <c r="H79" s="26" t="s">
        <v>19</v>
      </c>
      <c r="I79" s="26" t="s">
        <v>3</v>
      </c>
      <c r="J79" s="27" t="s">
        <v>20</v>
      </c>
      <c r="K79" s="27" t="s">
        <v>4</v>
      </c>
      <c r="L79" s="25" t="s">
        <v>5</v>
      </c>
      <c r="M79" s="25" t="s">
        <v>6</v>
      </c>
      <c r="N79" s="25" t="s">
        <v>7</v>
      </c>
      <c r="O79" s="28" t="s">
        <v>8</v>
      </c>
      <c r="P79" s="28" t="s">
        <v>9</v>
      </c>
      <c r="Q79" s="28" t="s">
        <v>10</v>
      </c>
    </row>
    <row r="80" spans="2:17" x14ac:dyDescent="0.3">
      <c r="B80" s="21" t="s">
        <v>12</v>
      </c>
      <c r="C80" s="4">
        <v>12738</v>
      </c>
      <c r="D80" s="5">
        <v>7822</v>
      </c>
      <c r="E80" s="6">
        <v>8.1685999999999996</v>
      </c>
      <c r="F80" s="10" t="s">
        <v>21</v>
      </c>
      <c r="G80" s="11" t="s">
        <v>21</v>
      </c>
      <c r="H80" s="4">
        <v>7276</v>
      </c>
      <c r="I80" s="6">
        <v>8.6555</v>
      </c>
      <c r="J80" s="4">
        <v>677</v>
      </c>
      <c r="K80" s="6">
        <v>3.1600999999999999</v>
      </c>
      <c r="L80" s="14">
        <v>2.0596000000000001</v>
      </c>
      <c r="M80" s="5">
        <v>36314</v>
      </c>
      <c r="N80" s="15">
        <v>6171</v>
      </c>
      <c r="O80" s="18" t="s">
        <v>21</v>
      </c>
      <c r="P80" s="19" t="s">
        <v>21</v>
      </c>
      <c r="Q80" s="20" t="s">
        <v>21</v>
      </c>
    </row>
    <row r="81" spans="2:17" x14ac:dyDescent="0.3">
      <c r="B81" s="22" t="s">
        <v>13</v>
      </c>
      <c r="C81" s="7">
        <v>11152</v>
      </c>
      <c r="D81" s="8">
        <v>7988</v>
      </c>
      <c r="E81" s="9">
        <v>10.9156</v>
      </c>
      <c r="F81" s="7">
        <v>2382</v>
      </c>
      <c r="G81" s="9">
        <v>18.3141</v>
      </c>
      <c r="H81" s="7">
        <v>40</v>
      </c>
      <c r="I81" s="9">
        <v>11.3217</v>
      </c>
      <c r="J81" s="7">
        <v>5733</v>
      </c>
      <c r="K81" s="9">
        <v>7.7961999999999998</v>
      </c>
      <c r="L81" s="16">
        <v>1.9722999999999999</v>
      </c>
      <c r="M81" s="8">
        <v>27483</v>
      </c>
      <c r="N81" s="17">
        <v>931</v>
      </c>
      <c r="O81" s="16">
        <v>1.6312</v>
      </c>
      <c r="P81" s="8">
        <v>8505</v>
      </c>
      <c r="Q81" s="17">
        <v>659</v>
      </c>
    </row>
    <row r="82" spans="2:17" x14ac:dyDescent="0.3">
      <c r="B82" s="22" t="s">
        <v>14</v>
      </c>
      <c r="C82" s="7">
        <v>8</v>
      </c>
      <c r="D82" s="8">
        <v>3</v>
      </c>
      <c r="E82" s="9">
        <v>5.3423999999999996</v>
      </c>
      <c r="F82" s="7">
        <v>0</v>
      </c>
      <c r="G82" s="9">
        <v>0</v>
      </c>
      <c r="H82" s="12">
        <v>0</v>
      </c>
      <c r="I82" s="13">
        <v>0</v>
      </c>
      <c r="J82" s="7">
        <v>3</v>
      </c>
      <c r="K82" s="9">
        <v>5.3423999999999996</v>
      </c>
      <c r="L82" s="16">
        <v>3.9325000000000001</v>
      </c>
      <c r="M82" s="8">
        <v>20</v>
      </c>
      <c r="N82" s="17">
        <v>2</v>
      </c>
      <c r="O82" s="16">
        <v>2.6599999999999999E-2</v>
      </c>
      <c r="P82" s="8">
        <v>6</v>
      </c>
      <c r="Q82" s="17">
        <v>0</v>
      </c>
    </row>
    <row r="83" spans="2:17" x14ac:dyDescent="0.3">
      <c r="B83" s="29" t="s">
        <v>15</v>
      </c>
      <c r="C83" s="30">
        <v>28285</v>
      </c>
      <c r="D83" s="31">
        <v>19642</v>
      </c>
      <c r="E83" s="32">
        <v>8.2403999999999993</v>
      </c>
      <c r="F83" s="30">
        <v>5270</v>
      </c>
      <c r="G83" s="32">
        <v>14.3599</v>
      </c>
      <c r="H83" s="30">
        <v>97</v>
      </c>
      <c r="I83" s="32">
        <v>11.768800000000001</v>
      </c>
      <c r="J83" s="30">
        <v>14840</v>
      </c>
      <c r="K83" s="32">
        <v>5.8575999999999997</v>
      </c>
      <c r="L83" s="33">
        <v>1.7689999999999999</v>
      </c>
      <c r="M83" s="31">
        <v>64620</v>
      </c>
      <c r="N83" s="34">
        <v>1784</v>
      </c>
      <c r="O83" s="33">
        <v>1.137</v>
      </c>
      <c r="P83" s="31">
        <v>24871</v>
      </c>
      <c r="Q83" s="35">
        <v>917</v>
      </c>
    </row>
    <row r="85" spans="2:17" x14ac:dyDescent="0.3">
      <c r="B85" s="38" t="s">
        <v>35</v>
      </c>
    </row>
    <row r="86" spans="2:17" s="1" customFormat="1" ht="43.2" x14ac:dyDescent="0.3">
      <c r="B86" s="2" t="s">
        <v>0</v>
      </c>
      <c r="C86" s="23" t="s">
        <v>1</v>
      </c>
      <c r="D86" s="23" t="s">
        <v>16</v>
      </c>
      <c r="E86" s="23" t="s">
        <v>17</v>
      </c>
      <c r="F86" s="24" t="s">
        <v>18</v>
      </c>
      <c r="G86" s="24" t="s">
        <v>2</v>
      </c>
      <c r="H86" s="26" t="s">
        <v>19</v>
      </c>
      <c r="I86" s="26" t="s">
        <v>3</v>
      </c>
      <c r="J86" s="27" t="s">
        <v>20</v>
      </c>
      <c r="K86" s="27" t="s">
        <v>4</v>
      </c>
      <c r="L86" s="25" t="s">
        <v>5</v>
      </c>
      <c r="M86" s="25" t="s">
        <v>6</v>
      </c>
      <c r="N86" s="25" t="s">
        <v>7</v>
      </c>
      <c r="O86" s="28" t="s">
        <v>8</v>
      </c>
      <c r="P86" s="28" t="s">
        <v>9</v>
      </c>
      <c r="Q86" s="28" t="s">
        <v>10</v>
      </c>
    </row>
    <row r="87" spans="2:17" x14ac:dyDescent="0.3">
      <c r="B87" s="21" t="s">
        <v>12</v>
      </c>
      <c r="C87" s="4">
        <v>14248</v>
      </c>
      <c r="D87" s="5">
        <v>8085</v>
      </c>
      <c r="E87" s="6">
        <v>7.8158000000000003</v>
      </c>
      <c r="F87" s="10" t="s">
        <v>21</v>
      </c>
      <c r="G87" s="11" t="s">
        <v>21</v>
      </c>
      <c r="H87" s="4">
        <v>7357</v>
      </c>
      <c r="I87" s="6">
        <v>8.2209000000000003</v>
      </c>
      <c r="J87" s="4">
        <v>795</v>
      </c>
      <c r="K87" s="6">
        <v>3.9485999999999999</v>
      </c>
      <c r="L87" s="14">
        <v>2.0754999999999999</v>
      </c>
      <c r="M87" s="5">
        <v>38118</v>
      </c>
      <c r="N87" s="15">
        <v>6279</v>
      </c>
      <c r="O87" s="18" t="s">
        <v>21</v>
      </c>
      <c r="P87" s="19" t="s">
        <v>21</v>
      </c>
      <c r="Q87" s="20" t="s">
        <v>21</v>
      </c>
    </row>
    <row r="88" spans="2:17" x14ac:dyDescent="0.3">
      <c r="B88" s="22" t="s">
        <v>13</v>
      </c>
      <c r="C88" s="7">
        <v>12621</v>
      </c>
      <c r="D88" s="8">
        <v>7672</v>
      </c>
      <c r="E88" s="9">
        <v>10.677</v>
      </c>
      <c r="F88" s="7">
        <v>1891</v>
      </c>
      <c r="G88" s="9">
        <v>19.059699999999999</v>
      </c>
      <c r="H88" s="7">
        <v>45</v>
      </c>
      <c r="I88" s="9">
        <v>11.0075</v>
      </c>
      <c r="J88" s="7">
        <v>5915</v>
      </c>
      <c r="K88" s="9">
        <v>8.0077999999999996</v>
      </c>
      <c r="L88" s="16">
        <v>1.0754999999999999</v>
      </c>
      <c r="M88" s="8">
        <v>27871</v>
      </c>
      <c r="N88" s="17">
        <v>535</v>
      </c>
      <c r="O88" s="16">
        <v>3.6168999999999998</v>
      </c>
      <c r="P88" s="8">
        <v>9604</v>
      </c>
      <c r="Q88" s="17">
        <v>1932</v>
      </c>
    </row>
    <row r="89" spans="2:17" x14ac:dyDescent="0.3">
      <c r="B89" s="22" t="s">
        <v>14</v>
      </c>
      <c r="C89" s="7">
        <v>5</v>
      </c>
      <c r="D89" s="8">
        <v>4</v>
      </c>
      <c r="E89" s="9">
        <v>24.172799999999999</v>
      </c>
      <c r="F89" s="7">
        <v>3</v>
      </c>
      <c r="G89" s="9">
        <v>20.650300000000001</v>
      </c>
      <c r="H89" s="12">
        <v>0</v>
      </c>
      <c r="I89" s="13">
        <v>0</v>
      </c>
      <c r="J89" s="7">
        <v>2</v>
      </c>
      <c r="K89" s="9">
        <v>17.394500000000001</v>
      </c>
      <c r="L89" s="16">
        <v>1.129</v>
      </c>
      <c r="M89" s="8">
        <v>7</v>
      </c>
      <c r="N89" s="17">
        <v>1</v>
      </c>
      <c r="O89" s="16">
        <v>1.8E-3</v>
      </c>
      <c r="P89" s="8">
        <v>4</v>
      </c>
      <c r="Q89" s="17">
        <v>0</v>
      </c>
    </row>
    <row r="90" spans="2:17" x14ac:dyDescent="0.3">
      <c r="B90" s="29" t="s">
        <v>15</v>
      </c>
      <c r="C90" s="30">
        <v>35494</v>
      </c>
      <c r="D90" s="31">
        <v>22685</v>
      </c>
      <c r="E90" s="32">
        <v>5.9953000000000003</v>
      </c>
      <c r="F90" s="30">
        <v>5146</v>
      </c>
      <c r="G90" s="32">
        <v>14.6729</v>
      </c>
      <c r="H90" s="30">
        <v>98</v>
      </c>
      <c r="I90" s="32">
        <v>12.004899999999999</v>
      </c>
      <c r="J90" s="30">
        <v>18658</v>
      </c>
      <c r="K90" s="32">
        <v>3.2519999999999998</v>
      </c>
      <c r="L90" s="33">
        <v>0.91769999999999996</v>
      </c>
      <c r="M90" s="31">
        <v>80723</v>
      </c>
      <c r="N90" s="34">
        <v>805</v>
      </c>
      <c r="O90" s="33">
        <v>0.84789999999999999</v>
      </c>
      <c r="P90" s="31">
        <v>31437</v>
      </c>
      <c r="Q90" s="35">
        <v>686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R90"/>
  <sheetViews>
    <sheetView showGridLines="0" workbookViewId="0">
      <selection activeCell="E20" sqref="E20"/>
    </sheetView>
  </sheetViews>
  <sheetFormatPr defaultRowHeight="14.4" x14ac:dyDescent="0.3"/>
  <cols>
    <col min="1" max="1" width="2.5546875" customWidth="1"/>
    <col min="2" max="2" width="27" bestFit="1" customWidth="1"/>
    <col min="3" max="3" width="8.21875" bestFit="1" customWidth="1"/>
    <col min="4" max="4" width="12" bestFit="1" customWidth="1"/>
    <col min="5" max="5" width="13.44140625" bestFit="1" customWidth="1"/>
    <col min="6" max="6" width="22" bestFit="1" customWidth="1"/>
    <col min="7" max="7" width="13.77734375" bestFit="1" customWidth="1"/>
    <col min="8" max="8" width="19.5546875" bestFit="1" customWidth="1"/>
    <col min="9" max="9" width="13.77734375" bestFit="1" customWidth="1"/>
    <col min="10" max="10" width="19.5546875" bestFit="1" customWidth="1"/>
    <col min="11" max="12" width="13.44140625" bestFit="1" customWidth="1"/>
    <col min="13" max="13" width="11" bestFit="1" customWidth="1"/>
    <col min="14" max="14" width="9.5546875" bestFit="1" customWidth="1"/>
    <col min="15" max="15" width="13.77734375" bestFit="1" customWidth="1"/>
    <col min="16" max="17" width="11.21875" bestFit="1" customWidth="1"/>
  </cols>
  <sheetData>
    <row r="6" spans="2:18" x14ac:dyDescent="0.3">
      <c r="B6" s="39" t="s">
        <v>22</v>
      </c>
    </row>
    <row r="7" spans="2:18" x14ac:dyDescent="0.3">
      <c r="B7" s="3"/>
    </row>
    <row r="8" spans="2:18" x14ac:dyDescent="0.3">
      <c r="B8" s="38" t="s">
        <v>24</v>
      </c>
    </row>
    <row r="9" spans="2:18" s="1" customFormat="1" ht="43.2" x14ac:dyDescent="0.3">
      <c r="B9" s="2" t="s">
        <v>0</v>
      </c>
      <c r="C9" s="23" t="s">
        <v>1</v>
      </c>
      <c r="D9" s="23" t="s">
        <v>16</v>
      </c>
      <c r="E9" s="23" t="s">
        <v>17</v>
      </c>
      <c r="F9" s="24" t="s">
        <v>18</v>
      </c>
      <c r="G9" s="24" t="s">
        <v>2</v>
      </c>
      <c r="H9" s="26" t="s">
        <v>19</v>
      </c>
      <c r="I9" s="26" t="s">
        <v>3</v>
      </c>
      <c r="J9" s="27" t="s">
        <v>20</v>
      </c>
      <c r="K9" s="27" t="s">
        <v>4</v>
      </c>
      <c r="L9" s="25" t="s">
        <v>5</v>
      </c>
      <c r="M9" s="25" t="s">
        <v>6</v>
      </c>
      <c r="N9" s="25" t="s">
        <v>7</v>
      </c>
      <c r="O9" s="28" t="s">
        <v>8</v>
      </c>
      <c r="P9" s="28" t="s">
        <v>9</v>
      </c>
      <c r="Q9" s="28" t="s">
        <v>10</v>
      </c>
    </row>
    <row r="10" spans="2:18" x14ac:dyDescent="0.3">
      <c r="B10" s="21" t="s">
        <v>12</v>
      </c>
      <c r="C10" s="4">
        <v>13949</v>
      </c>
      <c r="D10" s="5">
        <v>6983</v>
      </c>
      <c r="E10" s="6">
        <v>7.6203000000000003</v>
      </c>
      <c r="F10" s="10" t="s">
        <v>21</v>
      </c>
      <c r="G10" s="11" t="s">
        <v>21</v>
      </c>
      <c r="H10" s="4">
        <v>6640</v>
      </c>
      <c r="I10" s="6">
        <v>7.6970000000000001</v>
      </c>
      <c r="J10" s="4">
        <v>429</v>
      </c>
      <c r="K10" s="6">
        <v>11.4099</v>
      </c>
      <c r="L10" s="14">
        <v>1.9240999999999999</v>
      </c>
      <c r="M10" s="5">
        <v>37698</v>
      </c>
      <c r="N10" s="15">
        <v>7040</v>
      </c>
      <c r="O10" s="18" t="s">
        <v>21</v>
      </c>
      <c r="P10" s="19" t="s">
        <v>21</v>
      </c>
      <c r="Q10" s="20" t="s">
        <v>21</v>
      </c>
    </row>
    <row r="11" spans="2:18" x14ac:dyDescent="0.3">
      <c r="B11" s="22" t="s">
        <v>13</v>
      </c>
      <c r="C11" s="7">
        <v>19146</v>
      </c>
      <c r="D11" s="8">
        <v>10862</v>
      </c>
      <c r="E11" s="9">
        <v>10.545400000000001</v>
      </c>
      <c r="F11" s="7">
        <v>2711</v>
      </c>
      <c r="G11" s="9">
        <v>18.483499999999999</v>
      </c>
      <c r="H11" s="7">
        <v>60</v>
      </c>
      <c r="I11" s="9">
        <v>19.056899999999999</v>
      </c>
      <c r="J11" s="7">
        <v>8668</v>
      </c>
      <c r="K11" s="9">
        <v>7.9390999999999998</v>
      </c>
      <c r="L11" s="16">
        <v>1.8956999999999999</v>
      </c>
      <c r="M11" s="8">
        <v>43462</v>
      </c>
      <c r="N11" s="17">
        <v>1329</v>
      </c>
      <c r="O11" s="16">
        <v>2.6110000000000002</v>
      </c>
      <c r="P11" s="8">
        <v>15391</v>
      </c>
      <c r="Q11" s="17">
        <v>2217</v>
      </c>
      <c r="R11" t="s">
        <v>11</v>
      </c>
    </row>
    <row r="12" spans="2:18" x14ac:dyDescent="0.3">
      <c r="B12" s="22" t="s">
        <v>14</v>
      </c>
      <c r="C12" s="7">
        <v>13</v>
      </c>
      <c r="D12" s="8">
        <v>5</v>
      </c>
      <c r="E12" s="9">
        <v>2.7132000000000001</v>
      </c>
      <c r="F12" s="7">
        <v>0</v>
      </c>
      <c r="G12" s="9">
        <v>0</v>
      </c>
      <c r="H12" s="12">
        <v>0</v>
      </c>
      <c r="I12" s="13">
        <v>0</v>
      </c>
      <c r="J12" s="7">
        <v>5</v>
      </c>
      <c r="K12" s="9">
        <v>2.7132000000000001</v>
      </c>
      <c r="L12" s="16">
        <v>1.8516999999999999</v>
      </c>
      <c r="M12" s="8">
        <v>25</v>
      </c>
      <c r="N12" s="17">
        <v>1</v>
      </c>
      <c r="O12" s="16">
        <v>4.0822000000000003</v>
      </c>
      <c r="P12" s="8">
        <v>12</v>
      </c>
      <c r="Q12" s="17">
        <v>4</v>
      </c>
      <c r="R12" t="s">
        <v>11</v>
      </c>
    </row>
    <row r="13" spans="2:18" x14ac:dyDescent="0.3">
      <c r="B13" s="29" t="s">
        <v>15</v>
      </c>
      <c r="C13" s="30">
        <v>34288</v>
      </c>
      <c r="D13" s="31">
        <v>23789</v>
      </c>
      <c r="E13" s="32">
        <v>6.9904999999999999</v>
      </c>
      <c r="F13" s="30">
        <v>6344</v>
      </c>
      <c r="G13" s="32">
        <v>14.325699999999999</v>
      </c>
      <c r="H13" s="30">
        <v>151</v>
      </c>
      <c r="I13" s="32">
        <v>9.4359000000000002</v>
      </c>
      <c r="J13" s="30">
        <v>18202</v>
      </c>
      <c r="K13" s="32">
        <v>4.5129000000000001</v>
      </c>
      <c r="L13" s="33">
        <v>2.2755000000000001</v>
      </c>
      <c r="M13" s="31">
        <v>87846</v>
      </c>
      <c r="N13" s="34">
        <v>4292</v>
      </c>
      <c r="O13" s="33">
        <v>1.1766000000000001</v>
      </c>
      <c r="P13" s="31">
        <v>29479</v>
      </c>
      <c r="Q13" s="35">
        <v>664</v>
      </c>
      <c r="R13" t="s">
        <v>11</v>
      </c>
    </row>
    <row r="15" spans="2:18" x14ac:dyDescent="0.3">
      <c r="B15" s="38" t="s">
        <v>25</v>
      </c>
    </row>
    <row r="16" spans="2:18" s="1" customFormat="1" ht="43.2" x14ac:dyDescent="0.3">
      <c r="B16" s="2" t="s">
        <v>0</v>
      </c>
      <c r="C16" s="23" t="s">
        <v>1</v>
      </c>
      <c r="D16" s="23" t="s">
        <v>16</v>
      </c>
      <c r="E16" s="23" t="s">
        <v>17</v>
      </c>
      <c r="F16" s="24" t="s">
        <v>18</v>
      </c>
      <c r="G16" s="24" t="s">
        <v>2</v>
      </c>
      <c r="H16" s="26" t="s">
        <v>19</v>
      </c>
      <c r="I16" s="26" t="s">
        <v>3</v>
      </c>
      <c r="J16" s="27" t="s">
        <v>20</v>
      </c>
      <c r="K16" s="27" t="s">
        <v>4</v>
      </c>
      <c r="L16" s="25" t="s">
        <v>5</v>
      </c>
      <c r="M16" s="25" t="s">
        <v>6</v>
      </c>
      <c r="N16" s="25" t="s">
        <v>7</v>
      </c>
      <c r="O16" s="28" t="s">
        <v>8</v>
      </c>
      <c r="P16" s="28" t="s">
        <v>9</v>
      </c>
      <c r="Q16" s="28" t="s">
        <v>10</v>
      </c>
    </row>
    <row r="17" spans="2:17" x14ac:dyDescent="0.3">
      <c r="B17" s="21" t="s">
        <v>12</v>
      </c>
      <c r="C17" s="4">
        <v>13437</v>
      </c>
      <c r="D17" s="5">
        <v>6089</v>
      </c>
      <c r="E17" s="6">
        <v>6.9679000000000002</v>
      </c>
      <c r="F17" s="10" t="s">
        <v>21</v>
      </c>
      <c r="G17" s="11" t="s">
        <v>21</v>
      </c>
      <c r="H17" s="4">
        <v>5956</v>
      </c>
      <c r="I17" s="6">
        <v>7.1003999999999996</v>
      </c>
      <c r="J17" s="4">
        <v>268</v>
      </c>
      <c r="K17" s="6">
        <v>12.228199999999999</v>
      </c>
      <c r="L17" s="14">
        <v>1.6464000000000001</v>
      </c>
      <c r="M17" s="5">
        <v>29131</v>
      </c>
      <c r="N17" s="15">
        <v>4468</v>
      </c>
      <c r="O17" s="18" t="s">
        <v>21</v>
      </c>
      <c r="P17" s="19" t="s">
        <v>21</v>
      </c>
      <c r="Q17" s="20" t="s">
        <v>21</v>
      </c>
    </row>
    <row r="18" spans="2:17" x14ac:dyDescent="0.3">
      <c r="B18" s="22" t="s">
        <v>13</v>
      </c>
      <c r="C18" s="7">
        <v>13677</v>
      </c>
      <c r="D18" s="8">
        <v>10053</v>
      </c>
      <c r="E18" s="9">
        <v>11.7707</v>
      </c>
      <c r="F18" s="7">
        <v>3056</v>
      </c>
      <c r="G18" s="9">
        <v>18.467600000000001</v>
      </c>
      <c r="H18" s="7">
        <v>70</v>
      </c>
      <c r="I18" s="9">
        <v>21.1433</v>
      </c>
      <c r="J18" s="7">
        <v>7031</v>
      </c>
      <c r="K18" s="9">
        <v>8.8285</v>
      </c>
      <c r="L18" s="16">
        <v>1.1314</v>
      </c>
      <c r="M18" s="8">
        <v>26178</v>
      </c>
      <c r="N18" s="17">
        <v>189</v>
      </c>
      <c r="O18" s="16">
        <v>2.4329999999999998</v>
      </c>
      <c r="P18" s="8">
        <v>10069</v>
      </c>
      <c r="Q18" s="17">
        <v>1300</v>
      </c>
    </row>
    <row r="19" spans="2:17" x14ac:dyDescent="0.3">
      <c r="B19" s="22" t="s">
        <v>14</v>
      </c>
      <c r="C19" s="7">
        <v>4</v>
      </c>
      <c r="D19" s="8">
        <v>2</v>
      </c>
      <c r="E19" s="9">
        <v>29.289200000000001</v>
      </c>
      <c r="F19" s="7">
        <v>1</v>
      </c>
      <c r="G19" s="9">
        <v>26.572600000000001</v>
      </c>
      <c r="H19" s="12">
        <v>0</v>
      </c>
      <c r="I19" s="13">
        <v>0</v>
      </c>
      <c r="J19" s="7">
        <v>1</v>
      </c>
      <c r="K19" s="9">
        <v>32.005800000000001</v>
      </c>
      <c r="L19" s="16">
        <v>2.1612</v>
      </c>
      <c r="M19" s="8">
        <v>2</v>
      </c>
      <c r="N19" s="17">
        <v>0</v>
      </c>
      <c r="O19" s="16">
        <v>6.6835000000000004</v>
      </c>
      <c r="P19" s="8">
        <v>3</v>
      </c>
      <c r="Q19" s="17">
        <v>1</v>
      </c>
    </row>
    <row r="20" spans="2:17" x14ac:dyDescent="0.3">
      <c r="B20" s="29" t="s">
        <v>15</v>
      </c>
      <c r="C20" s="30">
        <v>20887</v>
      </c>
      <c r="D20" s="31">
        <v>22743</v>
      </c>
      <c r="E20" s="32">
        <v>23.389800000000001</v>
      </c>
      <c r="F20" s="30">
        <v>7676</v>
      </c>
      <c r="G20" s="32">
        <v>31.319700000000001</v>
      </c>
      <c r="H20" s="30">
        <v>101</v>
      </c>
      <c r="I20" s="32">
        <v>27.682300000000001</v>
      </c>
      <c r="J20" s="30">
        <v>15231</v>
      </c>
      <c r="K20" s="32">
        <v>19.122699999999998</v>
      </c>
      <c r="L20" s="33">
        <v>1.4186000000000001</v>
      </c>
      <c r="M20" s="31">
        <v>44444</v>
      </c>
      <c r="N20" s="34">
        <v>1111</v>
      </c>
      <c r="O20" s="33">
        <v>1.1976</v>
      </c>
      <c r="P20" s="31">
        <v>17035</v>
      </c>
      <c r="Q20" s="35">
        <v>291</v>
      </c>
    </row>
    <row r="22" spans="2:17" x14ac:dyDescent="0.3">
      <c r="B22" s="38" t="s">
        <v>26</v>
      </c>
    </row>
    <row r="23" spans="2:17" s="1" customFormat="1" ht="43.2" x14ac:dyDescent="0.3">
      <c r="B23" s="2" t="s">
        <v>0</v>
      </c>
      <c r="C23" s="23" t="s">
        <v>1</v>
      </c>
      <c r="D23" s="23" t="s">
        <v>16</v>
      </c>
      <c r="E23" s="23" t="s">
        <v>17</v>
      </c>
      <c r="F23" s="24" t="s">
        <v>18</v>
      </c>
      <c r="G23" s="24" t="s">
        <v>2</v>
      </c>
      <c r="H23" s="26" t="s">
        <v>19</v>
      </c>
      <c r="I23" s="26" t="s">
        <v>3</v>
      </c>
      <c r="J23" s="27" t="s">
        <v>20</v>
      </c>
      <c r="K23" s="27" t="s">
        <v>4</v>
      </c>
      <c r="L23" s="25" t="s">
        <v>5</v>
      </c>
      <c r="M23" s="25" t="s">
        <v>6</v>
      </c>
      <c r="N23" s="25" t="s">
        <v>7</v>
      </c>
      <c r="O23" s="28" t="s">
        <v>8</v>
      </c>
      <c r="P23" s="28" t="s">
        <v>9</v>
      </c>
      <c r="Q23" s="28" t="s">
        <v>10</v>
      </c>
    </row>
    <row r="24" spans="2:17" x14ac:dyDescent="0.3">
      <c r="B24" s="21" t="s">
        <v>12</v>
      </c>
      <c r="C24" s="4">
        <v>18872</v>
      </c>
      <c r="D24" s="5">
        <v>7447</v>
      </c>
      <c r="E24" s="6">
        <v>7.4710000000000001</v>
      </c>
      <c r="F24" s="10" t="s">
        <v>21</v>
      </c>
      <c r="G24" s="11" t="s">
        <v>21</v>
      </c>
      <c r="H24" s="4">
        <v>7357</v>
      </c>
      <c r="I24" s="6">
        <v>6.9446000000000003</v>
      </c>
      <c r="J24" s="4">
        <v>405</v>
      </c>
      <c r="K24" s="6">
        <v>16.169</v>
      </c>
      <c r="L24" s="14">
        <v>1.7519</v>
      </c>
      <c r="M24" s="5">
        <v>42110</v>
      </c>
      <c r="N24" s="15">
        <v>6817</v>
      </c>
      <c r="O24" s="18" t="s">
        <v>21</v>
      </c>
      <c r="P24" s="19" t="s">
        <v>21</v>
      </c>
      <c r="Q24" s="20" t="s">
        <v>21</v>
      </c>
    </row>
    <row r="25" spans="2:17" x14ac:dyDescent="0.3">
      <c r="B25" s="22" t="s">
        <v>13</v>
      </c>
      <c r="C25" s="7">
        <v>14848</v>
      </c>
      <c r="D25" s="8">
        <v>10597</v>
      </c>
      <c r="E25" s="9">
        <v>15.6731</v>
      </c>
      <c r="F25" s="7">
        <v>2596</v>
      </c>
      <c r="G25" s="9">
        <v>26.567699999999999</v>
      </c>
      <c r="H25" s="7">
        <v>23</v>
      </c>
      <c r="I25" s="9">
        <v>23.183399999999999</v>
      </c>
      <c r="J25" s="7">
        <v>8308</v>
      </c>
      <c r="K25" s="9">
        <v>12.7944</v>
      </c>
      <c r="L25" s="16">
        <v>0.90980000000000005</v>
      </c>
      <c r="M25" s="8">
        <v>33429</v>
      </c>
      <c r="N25" s="17">
        <v>276</v>
      </c>
      <c r="O25" s="16">
        <v>2.1890999999999998</v>
      </c>
      <c r="P25" s="8">
        <v>11047</v>
      </c>
      <c r="Q25" s="17">
        <v>1505</v>
      </c>
    </row>
    <row r="26" spans="2:17" x14ac:dyDescent="0.3">
      <c r="B26" s="22" t="s">
        <v>14</v>
      </c>
      <c r="C26" s="7">
        <v>8</v>
      </c>
      <c r="D26" s="8">
        <v>5</v>
      </c>
      <c r="E26" s="9">
        <v>2.6736</v>
      </c>
      <c r="F26" s="7">
        <v>1</v>
      </c>
      <c r="G26" s="9">
        <v>9.4687000000000001</v>
      </c>
      <c r="H26" s="12">
        <v>0</v>
      </c>
      <c r="I26" s="13">
        <v>0</v>
      </c>
      <c r="J26" s="7">
        <v>4</v>
      </c>
      <c r="K26" s="9">
        <v>0.9748</v>
      </c>
      <c r="L26" s="16">
        <v>0.27429999999999999</v>
      </c>
      <c r="M26" s="8">
        <v>16</v>
      </c>
      <c r="N26" s="17">
        <v>0</v>
      </c>
      <c r="O26" s="16">
        <v>1.2999999999999999E-2</v>
      </c>
      <c r="P26" s="8">
        <v>7</v>
      </c>
      <c r="Q26" s="17">
        <v>0</v>
      </c>
    </row>
    <row r="27" spans="2:17" x14ac:dyDescent="0.3">
      <c r="B27" s="29" t="s">
        <v>15</v>
      </c>
      <c r="C27" s="30">
        <v>19494</v>
      </c>
      <c r="D27" s="31">
        <v>15091</v>
      </c>
      <c r="E27" s="32">
        <v>9.1394000000000002</v>
      </c>
      <c r="F27" s="30">
        <v>4712</v>
      </c>
      <c r="G27" s="32">
        <v>20.2376</v>
      </c>
      <c r="H27" s="30">
        <v>62</v>
      </c>
      <c r="I27" s="32">
        <v>11.558</v>
      </c>
      <c r="J27" s="30">
        <v>10776</v>
      </c>
      <c r="K27" s="32">
        <v>4.2373000000000003</v>
      </c>
      <c r="L27" s="33">
        <v>1.0981000000000001</v>
      </c>
      <c r="M27" s="31">
        <v>43698</v>
      </c>
      <c r="N27" s="34">
        <v>512</v>
      </c>
      <c r="O27" s="33">
        <v>1.0273000000000001</v>
      </c>
      <c r="P27" s="31">
        <v>15434</v>
      </c>
      <c r="Q27" s="35">
        <v>490</v>
      </c>
    </row>
    <row r="29" spans="2:17" x14ac:dyDescent="0.3">
      <c r="B29" s="38" t="s">
        <v>27</v>
      </c>
    </row>
    <row r="30" spans="2:17" s="1" customFormat="1" ht="43.2" x14ac:dyDescent="0.3">
      <c r="B30" s="2" t="s">
        <v>0</v>
      </c>
      <c r="C30" s="23" t="s">
        <v>1</v>
      </c>
      <c r="D30" s="23" t="s">
        <v>16</v>
      </c>
      <c r="E30" s="23" t="s">
        <v>17</v>
      </c>
      <c r="F30" s="24" t="s">
        <v>18</v>
      </c>
      <c r="G30" s="24" t="s">
        <v>2</v>
      </c>
      <c r="H30" s="26" t="s">
        <v>19</v>
      </c>
      <c r="I30" s="26" t="s">
        <v>3</v>
      </c>
      <c r="J30" s="27" t="s">
        <v>20</v>
      </c>
      <c r="K30" s="27" t="s">
        <v>4</v>
      </c>
      <c r="L30" s="25" t="s">
        <v>5</v>
      </c>
      <c r="M30" s="25" t="s">
        <v>6</v>
      </c>
      <c r="N30" s="25" t="s">
        <v>7</v>
      </c>
      <c r="O30" s="28" t="s">
        <v>8</v>
      </c>
      <c r="P30" s="28" t="s">
        <v>9</v>
      </c>
      <c r="Q30" s="28" t="s">
        <v>10</v>
      </c>
    </row>
    <row r="31" spans="2:17" x14ac:dyDescent="0.3">
      <c r="B31" s="21" t="s">
        <v>12</v>
      </c>
      <c r="C31" s="4">
        <v>13753</v>
      </c>
      <c r="D31" s="5">
        <v>6981</v>
      </c>
      <c r="E31" s="6">
        <v>7.7870999999999997</v>
      </c>
      <c r="F31" s="10" t="s">
        <v>21</v>
      </c>
      <c r="G31" s="11" t="s">
        <v>21</v>
      </c>
      <c r="H31" s="4">
        <v>7084</v>
      </c>
      <c r="I31" s="6">
        <v>7.7690000000000001</v>
      </c>
      <c r="J31" s="4">
        <v>482</v>
      </c>
      <c r="K31" s="6">
        <v>6.1262999999999996</v>
      </c>
      <c r="L31" s="14">
        <v>1.6496</v>
      </c>
      <c r="M31" s="5">
        <v>32356</v>
      </c>
      <c r="N31" s="15">
        <v>4385</v>
      </c>
      <c r="O31" s="18" t="s">
        <v>21</v>
      </c>
      <c r="P31" s="19" t="s">
        <v>21</v>
      </c>
      <c r="Q31" s="20" t="s">
        <v>21</v>
      </c>
    </row>
    <row r="32" spans="2:17" x14ac:dyDescent="0.3">
      <c r="B32" s="22" t="s">
        <v>13</v>
      </c>
      <c r="C32" s="7">
        <v>17571</v>
      </c>
      <c r="D32" s="8">
        <v>9439</v>
      </c>
      <c r="E32" s="9">
        <v>10.6523</v>
      </c>
      <c r="F32" s="7">
        <v>2162</v>
      </c>
      <c r="G32" s="9">
        <v>19.662199999999999</v>
      </c>
      <c r="H32" s="7">
        <v>19</v>
      </c>
      <c r="I32" s="9">
        <v>15.6943</v>
      </c>
      <c r="J32" s="7">
        <v>7794</v>
      </c>
      <c r="K32" s="9">
        <v>8.7638999999999996</v>
      </c>
      <c r="L32" s="16">
        <v>0.57069999999999999</v>
      </c>
      <c r="M32" s="8">
        <v>31000</v>
      </c>
      <c r="N32" s="17">
        <v>129</v>
      </c>
      <c r="O32" s="16">
        <v>3.6133000000000002</v>
      </c>
      <c r="P32" s="8">
        <v>10314</v>
      </c>
      <c r="Q32" s="17">
        <v>1936</v>
      </c>
    </row>
    <row r="33" spans="2:17" x14ac:dyDescent="0.3">
      <c r="B33" s="22" t="s">
        <v>14</v>
      </c>
      <c r="C33" s="7">
        <v>3</v>
      </c>
      <c r="D33" s="8">
        <v>4</v>
      </c>
      <c r="E33" s="9">
        <v>11.7768</v>
      </c>
      <c r="F33" s="7">
        <v>3</v>
      </c>
      <c r="G33" s="9">
        <v>15.4008</v>
      </c>
      <c r="H33" s="12">
        <v>0</v>
      </c>
      <c r="I33" s="13">
        <v>0</v>
      </c>
      <c r="J33" s="7">
        <v>1</v>
      </c>
      <c r="K33" s="9">
        <v>0.90500000000000003</v>
      </c>
      <c r="L33" s="16">
        <v>0.81010000000000004</v>
      </c>
      <c r="M33" s="8">
        <v>9</v>
      </c>
      <c r="N33" s="17">
        <v>0</v>
      </c>
      <c r="O33" s="16">
        <v>2.3597000000000001</v>
      </c>
      <c r="P33" s="8">
        <v>3</v>
      </c>
      <c r="Q33" s="17">
        <v>0</v>
      </c>
    </row>
    <row r="34" spans="2:17" x14ac:dyDescent="0.3">
      <c r="B34" s="29" t="s">
        <v>15</v>
      </c>
      <c r="C34" s="30">
        <v>13881</v>
      </c>
      <c r="D34" s="31">
        <v>8933</v>
      </c>
      <c r="E34" s="32">
        <v>6.5278999999999998</v>
      </c>
      <c r="F34" s="30">
        <v>2352</v>
      </c>
      <c r="G34" s="32">
        <v>14.879099999999999</v>
      </c>
      <c r="H34" s="30">
        <v>61</v>
      </c>
      <c r="I34" s="32">
        <v>8.7819000000000003</v>
      </c>
      <c r="J34" s="30">
        <v>7154</v>
      </c>
      <c r="K34" s="32">
        <v>3.7553000000000001</v>
      </c>
      <c r="L34" s="33">
        <v>0.72809999999999997</v>
      </c>
      <c r="M34" s="31">
        <v>29027</v>
      </c>
      <c r="N34" s="34">
        <v>166</v>
      </c>
      <c r="O34" s="33">
        <v>0.8891</v>
      </c>
      <c r="P34" s="31">
        <v>10766</v>
      </c>
      <c r="Q34" s="35">
        <v>288</v>
      </c>
    </row>
    <row r="36" spans="2:17" x14ac:dyDescent="0.3">
      <c r="B36" s="38" t="s">
        <v>28</v>
      </c>
    </row>
    <row r="37" spans="2:17" s="1" customFormat="1" ht="43.2" x14ac:dyDescent="0.3">
      <c r="B37" s="2" t="s">
        <v>0</v>
      </c>
      <c r="C37" s="23" t="s">
        <v>1</v>
      </c>
      <c r="D37" s="23" t="s">
        <v>16</v>
      </c>
      <c r="E37" s="23" t="s">
        <v>17</v>
      </c>
      <c r="F37" s="24" t="s">
        <v>18</v>
      </c>
      <c r="G37" s="24" t="s">
        <v>2</v>
      </c>
      <c r="H37" s="26" t="s">
        <v>19</v>
      </c>
      <c r="I37" s="26" t="s">
        <v>3</v>
      </c>
      <c r="J37" s="27" t="s">
        <v>20</v>
      </c>
      <c r="K37" s="27" t="s">
        <v>4</v>
      </c>
      <c r="L37" s="25" t="s">
        <v>5</v>
      </c>
      <c r="M37" s="25" t="s">
        <v>6</v>
      </c>
      <c r="N37" s="25" t="s">
        <v>7</v>
      </c>
      <c r="O37" s="28" t="s">
        <v>8</v>
      </c>
      <c r="P37" s="28" t="s">
        <v>9</v>
      </c>
      <c r="Q37" s="28" t="s">
        <v>10</v>
      </c>
    </row>
    <row r="38" spans="2:17" x14ac:dyDescent="0.3">
      <c r="B38" s="21" t="s">
        <v>12</v>
      </c>
      <c r="C38" s="4">
        <v>12685</v>
      </c>
      <c r="D38" s="5">
        <v>6825</v>
      </c>
      <c r="E38" s="6">
        <v>8.5546000000000006</v>
      </c>
      <c r="F38" s="10" t="s">
        <v>21</v>
      </c>
      <c r="G38" s="11" t="s">
        <v>21</v>
      </c>
      <c r="H38" s="4">
        <v>6578</v>
      </c>
      <c r="I38" s="6">
        <v>8.7546999999999997</v>
      </c>
      <c r="J38" s="4">
        <v>400</v>
      </c>
      <c r="K38" s="6">
        <v>5.3897000000000004</v>
      </c>
      <c r="L38" s="14">
        <v>1.7437</v>
      </c>
      <c r="M38" s="5">
        <v>32195</v>
      </c>
      <c r="N38" s="15">
        <v>4877</v>
      </c>
      <c r="O38" s="18" t="s">
        <v>21</v>
      </c>
      <c r="P38" s="19" t="s">
        <v>21</v>
      </c>
      <c r="Q38" s="20" t="s">
        <v>21</v>
      </c>
    </row>
    <row r="39" spans="2:17" x14ac:dyDescent="0.3">
      <c r="B39" s="22" t="s">
        <v>13</v>
      </c>
      <c r="C39" s="7">
        <v>18161</v>
      </c>
      <c r="D39" s="8">
        <v>10352</v>
      </c>
      <c r="E39" s="9">
        <v>22.073699999999999</v>
      </c>
      <c r="F39" s="7">
        <v>2742</v>
      </c>
      <c r="G39" s="9">
        <v>38.006399999999999</v>
      </c>
      <c r="H39" s="7">
        <v>22</v>
      </c>
      <c r="I39" s="9">
        <v>38.920699999999997</v>
      </c>
      <c r="J39" s="7">
        <v>8155</v>
      </c>
      <c r="K39" s="9">
        <v>20.109300000000001</v>
      </c>
      <c r="L39" s="16">
        <v>0.76439999999999997</v>
      </c>
      <c r="M39" s="8">
        <v>32170</v>
      </c>
      <c r="N39" s="17">
        <v>253</v>
      </c>
      <c r="O39" s="16">
        <v>4.6913999999999998</v>
      </c>
      <c r="P39" s="8">
        <v>11902</v>
      </c>
      <c r="Q39" s="17">
        <v>3833</v>
      </c>
    </row>
    <row r="40" spans="2:17" x14ac:dyDescent="0.3">
      <c r="B40" s="22" t="s">
        <v>14</v>
      </c>
      <c r="C40" s="7">
        <v>3</v>
      </c>
      <c r="D40" s="8">
        <v>3</v>
      </c>
      <c r="E40" s="9">
        <v>13.3604</v>
      </c>
      <c r="F40" s="7">
        <v>2</v>
      </c>
      <c r="G40" s="9">
        <v>19.3447</v>
      </c>
      <c r="H40" s="12">
        <v>0</v>
      </c>
      <c r="I40" s="13">
        <v>0</v>
      </c>
      <c r="J40" s="7">
        <v>1</v>
      </c>
      <c r="K40" s="9">
        <v>1.3918999999999999</v>
      </c>
      <c r="L40" s="16">
        <v>2.1063999999999998</v>
      </c>
      <c r="M40" s="8">
        <v>8</v>
      </c>
      <c r="N40" s="17">
        <v>0</v>
      </c>
      <c r="O40" s="16">
        <v>4.2552000000000003</v>
      </c>
      <c r="P40" s="8">
        <v>3</v>
      </c>
      <c r="Q40" s="17">
        <v>1</v>
      </c>
    </row>
    <row r="41" spans="2:17" x14ac:dyDescent="0.3">
      <c r="B41" s="29" t="s">
        <v>15</v>
      </c>
      <c r="C41" s="30">
        <v>14223</v>
      </c>
      <c r="D41" s="31">
        <v>8948</v>
      </c>
      <c r="E41" s="32">
        <v>8.1943999999999999</v>
      </c>
      <c r="F41" s="30">
        <v>2512</v>
      </c>
      <c r="G41" s="32">
        <v>16.1401</v>
      </c>
      <c r="H41" s="30">
        <v>56</v>
      </c>
      <c r="I41" s="32">
        <v>9.4977</v>
      </c>
      <c r="J41" s="30">
        <v>6601</v>
      </c>
      <c r="K41" s="32">
        <v>5.1067</v>
      </c>
      <c r="L41" s="33">
        <v>0.97650000000000003</v>
      </c>
      <c r="M41" s="31">
        <v>29593</v>
      </c>
      <c r="N41" s="34">
        <v>209</v>
      </c>
      <c r="O41" s="33">
        <v>1.0287999999999999</v>
      </c>
      <c r="P41" s="31">
        <v>10347</v>
      </c>
      <c r="Q41" s="35">
        <v>377</v>
      </c>
    </row>
    <row r="43" spans="2:17" x14ac:dyDescent="0.3">
      <c r="B43" s="38" t="s">
        <v>29</v>
      </c>
    </row>
    <row r="44" spans="2:17" s="1" customFormat="1" ht="43.2" x14ac:dyDescent="0.3">
      <c r="B44" s="2" t="s">
        <v>0</v>
      </c>
      <c r="C44" s="23" t="s">
        <v>1</v>
      </c>
      <c r="D44" s="23" t="s">
        <v>16</v>
      </c>
      <c r="E44" s="23" t="s">
        <v>17</v>
      </c>
      <c r="F44" s="24" t="s">
        <v>18</v>
      </c>
      <c r="G44" s="24" t="s">
        <v>2</v>
      </c>
      <c r="H44" s="26" t="s">
        <v>19</v>
      </c>
      <c r="I44" s="26" t="s">
        <v>3</v>
      </c>
      <c r="J44" s="27" t="s">
        <v>20</v>
      </c>
      <c r="K44" s="27" t="s">
        <v>4</v>
      </c>
      <c r="L44" s="25" t="s">
        <v>5</v>
      </c>
      <c r="M44" s="25" t="s">
        <v>6</v>
      </c>
      <c r="N44" s="25" t="s">
        <v>7</v>
      </c>
      <c r="O44" s="28" t="s">
        <v>8</v>
      </c>
      <c r="P44" s="28" t="s">
        <v>9</v>
      </c>
      <c r="Q44" s="28" t="s">
        <v>10</v>
      </c>
    </row>
    <row r="45" spans="2:17" x14ac:dyDescent="0.3">
      <c r="B45" s="21" t="s">
        <v>12</v>
      </c>
      <c r="C45" s="4">
        <v>12852</v>
      </c>
      <c r="D45" s="5">
        <v>6170</v>
      </c>
      <c r="E45" s="6">
        <v>8.9176000000000002</v>
      </c>
      <c r="F45" s="10" t="s">
        <v>21</v>
      </c>
      <c r="G45" s="11" t="s">
        <v>21</v>
      </c>
      <c r="H45" s="4">
        <v>6206</v>
      </c>
      <c r="I45" s="6">
        <v>8.5197000000000003</v>
      </c>
      <c r="J45" s="4">
        <v>277</v>
      </c>
      <c r="K45" s="6">
        <v>15.8748</v>
      </c>
      <c r="L45" s="14">
        <v>1.7847</v>
      </c>
      <c r="M45" s="5">
        <v>33379</v>
      </c>
      <c r="N45" s="15">
        <v>5549</v>
      </c>
      <c r="O45" s="18" t="s">
        <v>21</v>
      </c>
      <c r="P45" s="19" t="s">
        <v>21</v>
      </c>
      <c r="Q45" s="20" t="s">
        <v>21</v>
      </c>
    </row>
    <row r="46" spans="2:17" x14ac:dyDescent="0.3">
      <c r="B46" s="22" t="s">
        <v>13</v>
      </c>
      <c r="C46" s="7">
        <v>16099</v>
      </c>
      <c r="D46" s="8">
        <v>9057</v>
      </c>
      <c r="E46" s="9">
        <v>17.998100000000001</v>
      </c>
      <c r="F46" s="7">
        <v>2433</v>
      </c>
      <c r="G46" s="9">
        <v>34.322400000000002</v>
      </c>
      <c r="H46" s="7">
        <v>27</v>
      </c>
      <c r="I46" s="9">
        <v>13.5905</v>
      </c>
      <c r="J46" s="7">
        <v>7251</v>
      </c>
      <c r="K46" s="9">
        <v>13.927300000000001</v>
      </c>
      <c r="L46" s="16">
        <v>0.61429999999999996</v>
      </c>
      <c r="M46" s="8">
        <v>30611</v>
      </c>
      <c r="N46" s="17">
        <v>78</v>
      </c>
      <c r="O46" s="16">
        <v>3.2059000000000002</v>
      </c>
      <c r="P46" s="8">
        <v>11155</v>
      </c>
      <c r="Q46" s="17">
        <v>1799</v>
      </c>
    </row>
    <row r="47" spans="2:17" x14ac:dyDescent="0.3">
      <c r="B47" s="22" t="s">
        <v>14</v>
      </c>
      <c r="C47" s="7">
        <v>2</v>
      </c>
      <c r="D47" s="8">
        <v>0</v>
      </c>
      <c r="E47" s="9">
        <v>0</v>
      </c>
      <c r="F47" s="7">
        <v>0</v>
      </c>
      <c r="G47" s="9">
        <v>0</v>
      </c>
      <c r="H47" s="12">
        <v>0</v>
      </c>
      <c r="I47" s="13">
        <v>0</v>
      </c>
      <c r="J47" s="7">
        <v>0</v>
      </c>
      <c r="K47" s="9">
        <v>0</v>
      </c>
      <c r="L47" s="16">
        <v>5.5399999999999998E-2</v>
      </c>
      <c r="M47" s="8">
        <v>2</v>
      </c>
      <c r="N47" s="17">
        <v>0</v>
      </c>
      <c r="O47" s="16">
        <v>7.8715000000000002</v>
      </c>
      <c r="P47" s="8">
        <v>1</v>
      </c>
      <c r="Q47" s="17">
        <v>1</v>
      </c>
    </row>
    <row r="48" spans="2:17" x14ac:dyDescent="0.3">
      <c r="B48" s="29" t="s">
        <v>15</v>
      </c>
      <c r="C48" s="30">
        <v>11222</v>
      </c>
      <c r="D48" s="31">
        <v>6670</v>
      </c>
      <c r="E48" s="32">
        <v>6.7401999999999997</v>
      </c>
      <c r="F48" s="30">
        <v>1935</v>
      </c>
      <c r="G48" s="32">
        <v>15.489599999999999</v>
      </c>
      <c r="H48" s="30">
        <v>40</v>
      </c>
      <c r="I48" s="32">
        <v>9.5389999999999997</v>
      </c>
      <c r="J48" s="30">
        <v>5079</v>
      </c>
      <c r="K48" s="32">
        <v>3.1355</v>
      </c>
      <c r="L48" s="33">
        <v>0.78259999999999996</v>
      </c>
      <c r="M48" s="31">
        <v>22991</v>
      </c>
      <c r="N48" s="34">
        <v>74</v>
      </c>
      <c r="O48" s="33">
        <v>0.7964</v>
      </c>
      <c r="P48" s="31">
        <v>7963</v>
      </c>
      <c r="Q48" s="35">
        <v>228</v>
      </c>
    </row>
    <row r="50" spans="2:17" x14ac:dyDescent="0.3">
      <c r="B50" s="38" t="s">
        <v>30</v>
      </c>
    </row>
    <row r="51" spans="2:17" s="1" customFormat="1" ht="43.2" x14ac:dyDescent="0.3">
      <c r="B51" s="2" t="s">
        <v>0</v>
      </c>
      <c r="C51" s="23" t="s">
        <v>1</v>
      </c>
      <c r="D51" s="23" t="s">
        <v>16</v>
      </c>
      <c r="E51" s="23" t="s">
        <v>17</v>
      </c>
      <c r="F51" s="24" t="s">
        <v>18</v>
      </c>
      <c r="G51" s="24" t="s">
        <v>2</v>
      </c>
      <c r="H51" s="26" t="s">
        <v>19</v>
      </c>
      <c r="I51" s="26" t="s">
        <v>3</v>
      </c>
      <c r="J51" s="27" t="s">
        <v>20</v>
      </c>
      <c r="K51" s="27" t="s">
        <v>4</v>
      </c>
      <c r="L51" s="25" t="s">
        <v>5</v>
      </c>
      <c r="M51" s="25" t="s">
        <v>6</v>
      </c>
      <c r="N51" s="25" t="s">
        <v>7</v>
      </c>
      <c r="O51" s="28" t="s">
        <v>8</v>
      </c>
      <c r="P51" s="28" t="s">
        <v>9</v>
      </c>
      <c r="Q51" s="28" t="s">
        <v>10</v>
      </c>
    </row>
    <row r="52" spans="2:17" x14ac:dyDescent="0.3">
      <c r="B52" s="21" t="s">
        <v>12</v>
      </c>
      <c r="C52" s="4">
        <v>17223</v>
      </c>
      <c r="D52" s="5">
        <v>7476</v>
      </c>
      <c r="E52" s="6">
        <v>7.1147</v>
      </c>
      <c r="F52" s="10" t="s">
        <v>21</v>
      </c>
      <c r="G52" s="11" t="s">
        <v>21</v>
      </c>
      <c r="H52" s="4">
        <v>7443</v>
      </c>
      <c r="I52" s="6">
        <v>6.9424000000000001</v>
      </c>
      <c r="J52" s="4">
        <v>497</v>
      </c>
      <c r="K52" s="6">
        <v>8.5820000000000007</v>
      </c>
      <c r="L52" s="14">
        <v>1.7751999999999999</v>
      </c>
      <c r="M52" s="5">
        <v>42579</v>
      </c>
      <c r="N52" s="15">
        <v>7445</v>
      </c>
      <c r="O52" s="18" t="s">
        <v>21</v>
      </c>
      <c r="P52" s="19" t="s">
        <v>21</v>
      </c>
      <c r="Q52" s="20" t="s">
        <v>21</v>
      </c>
    </row>
    <row r="53" spans="2:17" x14ac:dyDescent="0.3">
      <c r="B53" s="22" t="s">
        <v>13</v>
      </c>
      <c r="C53" s="7">
        <v>19409</v>
      </c>
      <c r="D53" s="8">
        <v>10550</v>
      </c>
      <c r="E53" s="9">
        <v>12.9506</v>
      </c>
      <c r="F53" s="7">
        <v>2627</v>
      </c>
      <c r="G53" s="9">
        <v>20.3017</v>
      </c>
      <c r="H53" s="7">
        <v>51</v>
      </c>
      <c r="I53" s="9">
        <v>8.3244000000000007</v>
      </c>
      <c r="J53" s="7">
        <v>9683</v>
      </c>
      <c r="K53" s="9">
        <v>10.892799999999999</v>
      </c>
      <c r="L53" s="16">
        <v>0.57010000000000005</v>
      </c>
      <c r="M53" s="8">
        <v>41822</v>
      </c>
      <c r="N53" s="17">
        <v>198</v>
      </c>
      <c r="O53" s="16">
        <v>4.4691999999999998</v>
      </c>
      <c r="P53" s="8">
        <v>13419</v>
      </c>
      <c r="Q53" s="17">
        <v>3799</v>
      </c>
    </row>
    <row r="54" spans="2:17" x14ac:dyDescent="0.3">
      <c r="B54" s="22" t="s">
        <v>14</v>
      </c>
      <c r="C54" s="7">
        <v>7</v>
      </c>
      <c r="D54" s="8">
        <v>6</v>
      </c>
      <c r="E54" s="9">
        <v>4.2145999999999999</v>
      </c>
      <c r="F54" s="7">
        <v>1</v>
      </c>
      <c r="G54" s="9">
        <v>8.4285999999999994</v>
      </c>
      <c r="H54" s="12">
        <v>0</v>
      </c>
      <c r="I54" s="13">
        <v>0</v>
      </c>
      <c r="J54" s="7">
        <v>5</v>
      </c>
      <c r="K54" s="9">
        <v>3.3717999999999999</v>
      </c>
      <c r="L54" s="16">
        <v>1.3487</v>
      </c>
      <c r="M54" s="8">
        <v>23</v>
      </c>
      <c r="N54" s="17">
        <v>0</v>
      </c>
      <c r="O54" s="16">
        <v>1.04</v>
      </c>
      <c r="P54" s="8">
        <v>7</v>
      </c>
      <c r="Q54" s="17">
        <v>0</v>
      </c>
    </row>
    <row r="55" spans="2:17" x14ac:dyDescent="0.3">
      <c r="B55" s="29" t="s">
        <v>15</v>
      </c>
      <c r="C55" s="30">
        <v>12239</v>
      </c>
      <c r="D55" s="31">
        <v>6923</v>
      </c>
      <c r="E55" s="32">
        <v>5.0228999999999999</v>
      </c>
      <c r="F55" s="30">
        <v>1944</v>
      </c>
      <c r="G55" s="32">
        <v>12.2819</v>
      </c>
      <c r="H55" s="30">
        <v>25</v>
      </c>
      <c r="I55" s="32">
        <v>5.7938999999999998</v>
      </c>
      <c r="J55" s="30">
        <v>5510</v>
      </c>
      <c r="K55" s="32">
        <v>2.2883</v>
      </c>
      <c r="L55" s="33">
        <v>0.71679999999999999</v>
      </c>
      <c r="M55" s="31">
        <v>24556</v>
      </c>
      <c r="N55" s="34">
        <v>160</v>
      </c>
      <c r="O55" s="33">
        <v>0.75329999999999997</v>
      </c>
      <c r="P55" s="31">
        <v>8731</v>
      </c>
      <c r="Q55" s="35">
        <v>300</v>
      </c>
    </row>
    <row r="57" spans="2:17" x14ac:dyDescent="0.3">
      <c r="B57" s="38" t="s">
        <v>31</v>
      </c>
    </row>
    <row r="58" spans="2:17" s="1" customFormat="1" ht="43.2" x14ac:dyDescent="0.3">
      <c r="B58" s="2" t="s">
        <v>0</v>
      </c>
      <c r="C58" s="23" t="s">
        <v>1</v>
      </c>
      <c r="D58" s="23" t="s">
        <v>16</v>
      </c>
      <c r="E58" s="23" t="s">
        <v>17</v>
      </c>
      <c r="F58" s="24" t="s">
        <v>18</v>
      </c>
      <c r="G58" s="24" t="s">
        <v>2</v>
      </c>
      <c r="H58" s="26" t="s">
        <v>19</v>
      </c>
      <c r="I58" s="26" t="s">
        <v>3</v>
      </c>
      <c r="J58" s="27" t="s">
        <v>20</v>
      </c>
      <c r="K58" s="27" t="s">
        <v>4</v>
      </c>
      <c r="L58" s="25" t="s">
        <v>5</v>
      </c>
      <c r="M58" s="25" t="s">
        <v>6</v>
      </c>
      <c r="N58" s="25" t="s">
        <v>7</v>
      </c>
      <c r="O58" s="28" t="s">
        <v>8</v>
      </c>
      <c r="P58" s="28" t="s">
        <v>9</v>
      </c>
      <c r="Q58" s="28" t="s">
        <v>10</v>
      </c>
    </row>
    <row r="59" spans="2:17" x14ac:dyDescent="0.3">
      <c r="B59" s="21" t="s">
        <v>12</v>
      </c>
      <c r="C59" s="4">
        <v>14340</v>
      </c>
      <c r="D59" s="5">
        <v>7105</v>
      </c>
      <c r="E59" s="6">
        <v>8.6534999999999993</v>
      </c>
      <c r="F59" s="10" t="s">
        <v>21</v>
      </c>
      <c r="G59" s="11" t="s">
        <v>21</v>
      </c>
      <c r="H59" s="4">
        <v>7059</v>
      </c>
      <c r="I59" s="6">
        <v>8.5966000000000005</v>
      </c>
      <c r="J59" s="4">
        <v>307</v>
      </c>
      <c r="K59" s="6">
        <v>8.8176000000000005</v>
      </c>
      <c r="L59" s="14">
        <v>1.6577</v>
      </c>
      <c r="M59" s="5">
        <v>35898</v>
      </c>
      <c r="N59" s="15">
        <v>5334</v>
      </c>
      <c r="O59" s="18" t="s">
        <v>21</v>
      </c>
      <c r="P59" s="19" t="s">
        <v>21</v>
      </c>
      <c r="Q59" s="20" t="s">
        <v>21</v>
      </c>
    </row>
    <row r="60" spans="2:17" x14ac:dyDescent="0.3">
      <c r="B60" s="22" t="s">
        <v>13</v>
      </c>
      <c r="C60" s="7">
        <v>14170</v>
      </c>
      <c r="D60" s="8">
        <v>11630</v>
      </c>
      <c r="E60" s="9">
        <v>17.387799999999999</v>
      </c>
      <c r="F60" s="7">
        <v>3217</v>
      </c>
      <c r="G60" s="9">
        <v>23.978200000000001</v>
      </c>
      <c r="H60" s="7">
        <v>99</v>
      </c>
      <c r="I60" s="9">
        <v>9.9984000000000002</v>
      </c>
      <c r="J60" s="7">
        <v>9238</v>
      </c>
      <c r="K60" s="9">
        <v>14.837199999999999</v>
      </c>
      <c r="L60" s="16">
        <v>0.69589999999999996</v>
      </c>
      <c r="M60" s="8">
        <v>29338</v>
      </c>
      <c r="N60" s="17">
        <v>290</v>
      </c>
      <c r="O60" s="16">
        <v>2.1059999999999999</v>
      </c>
      <c r="P60" s="8">
        <v>9386</v>
      </c>
      <c r="Q60" s="17">
        <v>973</v>
      </c>
    </row>
    <row r="61" spans="2:17" x14ac:dyDescent="0.3">
      <c r="B61" s="22" t="s">
        <v>14</v>
      </c>
      <c r="C61" s="7">
        <v>4</v>
      </c>
      <c r="D61" s="8">
        <v>6</v>
      </c>
      <c r="E61" s="9">
        <v>29.840699999999998</v>
      </c>
      <c r="F61" s="7">
        <v>4</v>
      </c>
      <c r="G61" s="9">
        <v>38.138300000000001</v>
      </c>
      <c r="H61" s="12">
        <v>0</v>
      </c>
      <c r="I61" s="13">
        <v>0</v>
      </c>
      <c r="J61" s="7">
        <v>2</v>
      </c>
      <c r="K61" s="9">
        <v>13.2456</v>
      </c>
      <c r="L61" s="16">
        <v>1.4462999999999999</v>
      </c>
      <c r="M61" s="8">
        <v>14</v>
      </c>
      <c r="N61" s="17">
        <v>0</v>
      </c>
      <c r="O61" s="16">
        <v>3.9514</v>
      </c>
      <c r="P61" s="8">
        <v>4</v>
      </c>
      <c r="Q61" s="17">
        <v>1</v>
      </c>
    </row>
    <row r="62" spans="2:17" x14ac:dyDescent="0.3">
      <c r="B62" s="29" t="s">
        <v>15</v>
      </c>
      <c r="C62" s="30">
        <v>9129</v>
      </c>
      <c r="D62" s="31">
        <v>5846</v>
      </c>
      <c r="E62" s="32">
        <v>6.7804000000000002</v>
      </c>
      <c r="F62" s="30">
        <v>1561</v>
      </c>
      <c r="G62" s="32">
        <v>13.982200000000001</v>
      </c>
      <c r="H62" s="30">
        <v>26</v>
      </c>
      <c r="I62" s="32">
        <v>22.758099999999999</v>
      </c>
      <c r="J62" s="30">
        <v>4526</v>
      </c>
      <c r="K62" s="32">
        <v>4.0515999999999996</v>
      </c>
      <c r="L62" s="33">
        <v>0.69320000000000004</v>
      </c>
      <c r="M62" s="31">
        <v>19526</v>
      </c>
      <c r="N62" s="34">
        <v>69</v>
      </c>
      <c r="O62" s="33">
        <v>0.64329999999999998</v>
      </c>
      <c r="P62" s="31">
        <v>6773</v>
      </c>
      <c r="Q62" s="35">
        <v>156</v>
      </c>
    </row>
    <row r="64" spans="2:17" x14ac:dyDescent="0.3">
      <c r="B64" s="38" t="s">
        <v>32</v>
      </c>
    </row>
    <row r="65" spans="2:17" s="1" customFormat="1" ht="43.2" x14ac:dyDescent="0.3">
      <c r="B65" s="2" t="s">
        <v>0</v>
      </c>
      <c r="C65" s="23" t="s">
        <v>1</v>
      </c>
      <c r="D65" s="23" t="s">
        <v>16</v>
      </c>
      <c r="E65" s="23" t="s">
        <v>17</v>
      </c>
      <c r="F65" s="24" t="s">
        <v>18</v>
      </c>
      <c r="G65" s="24" t="s">
        <v>2</v>
      </c>
      <c r="H65" s="26" t="s">
        <v>19</v>
      </c>
      <c r="I65" s="26" t="s">
        <v>3</v>
      </c>
      <c r="J65" s="27" t="s">
        <v>20</v>
      </c>
      <c r="K65" s="27" t="s">
        <v>4</v>
      </c>
      <c r="L65" s="25" t="s">
        <v>5</v>
      </c>
      <c r="M65" s="25" t="s">
        <v>6</v>
      </c>
      <c r="N65" s="25" t="s">
        <v>7</v>
      </c>
      <c r="O65" s="28" t="s">
        <v>8</v>
      </c>
      <c r="P65" s="28" t="s">
        <v>9</v>
      </c>
      <c r="Q65" s="28" t="s">
        <v>10</v>
      </c>
    </row>
    <row r="66" spans="2:17" x14ac:dyDescent="0.3">
      <c r="B66" s="21" t="s">
        <v>12</v>
      </c>
      <c r="C66" s="4">
        <v>15524</v>
      </c>
      <c r="D66" s="5">
        <v>7021</v>
      </c>
      <c r="E66" s="6">
        <v>7.6523000000000003</v>
      </c>
      <c r="F66" s="10" t="s">
        <v>21</v>
      </c>
      <c r="G66" s="11" t="s">
        <v>21</v>
      </c>
      <c r="H66" s="4">
        <v>7454</v>
      </c>
      <c r="I66" s="6">
        <v>7.6687000000000003</v>
      </c>
      <c r="J66" s="4">
        <v>329</v>
      </c>
      <c r="K66" s="6">
        <v>3.9161999999999999</v>
      </c>
      <c r="L66" s="14">
        <v>1.7054</v>
      </c>
      <c r="M66" s="5">
        <v>38096</v>
      </c>
      <c r="N66" s="15">
        <v>6675</v>
      </c>
      <c r="O66" s="18" t="s">
        <v>21</v>
      </c>
      <c r="P66" s="19" t="s">
        <v>21</v>
      </c>
      <c r="Q66" s="20" t="s">
        <v>21</v>
      </c>
    </row>
    <row r="67" spans="2:17" x14ac:dyDescent="0.3">
      <c r="B67" s="22" t="s">
        <v>13</v>
      </c>
      <c r="C67" s="7">
        <v>14518</v>
      </c>
      <c r="D67" s="8">
        <v>2553</v>
      </c>
      <c r="E67" s="9">
        <v>12.5662</v>
      </c>
      <c r="F67" s="7">
        <v>1813</v>
      </c>
      <c r="G67" s="9">
        <v>21.651800000000001</v>
      </c>
      <c r="H67" s="7">
        <v>514</v>
      </c>
      <c r="I67" s="9">
        <v>6.3083</v>
      </c>
      <c r="J67" s="7">
        <v>5374</v>
      </c>
      <c r="K67" s="9">
        <v>7.9451999999999998</v>
      </c>
      <c r="L67" s="16">
        <v>0.7782</v>
      </c>
      <c r="M67" s="8">
        <v>29031</v>
      </c>
      <c r="N67" s="17">
        <v>1639</v>
      </c>
      <c r="O67" s="16">
        <v>3.6116000000000001</v>
      </c>
      <c r="P67" s="8">
        <v>9128</v>
      </c>
      <c r="Q67" s="17">
        <v>2017</v>
      </c>
    </row>
    <row r="68" spans="2:17" x14ac:dyDescent="0.3">
      <c r="B68" s="22" t="s">
        <v>14</v>
      </c>
      <c r="C68" s="7">
        <v>2</v>
      </c>
      <c r="D68" s="8">
        <v>1</v>
      </c>
      <c r="E68" s="9">
        <v>30.284400000000002</v>
      </c>
      <c r="F68" s="7">
        <v>0</v>
      </c>
      <c r="G68" s="9">
        <v>0</v>
      </c>
      <c r="H68" s="12">
        <v>0</v>
      </c>
      <c r="I68" s="13">
        <v>0</v>
      </c>
      <c r="J68" s="7">
        <v>1</v>
      </c>
      <c r="K68" s="9">
        <v>30.284400000000002</v>
      </c>
      <c r="L68" s="16">
        <v>0.85780000000000001</v>
      </c>
      <c r="M68" s="8">
        <v>6</v>
      </c>
      <c r="N68" s="17">
        <v>1</v>
      </c>
      <c r="O68" s="16">
        <v>9.2454999999999998</v>
      </c>
      <c r="P68" s="8">
        <v>2</v>
      </c>
      <c r="Q68" s="17">
        <v>1</v>
      </c>
    </row>
    <row r="69" spans="2:17" x14ac:dyDescent="0.3">
      <c r="B69" s="29" t="s">
        <v>15</v>
      </c>
      <c r="C69" s="30">
        <v>9279</v>
      </c>
      <c r="D69" s="31">
        <v>1726</v>
      </c>
      <c r="E69" s="32">
        <v>6.0106999999999999</v>
      </c>
      <c r="F69" s="30">
        <v>1409</v>
      </c>
      <c r="G69" s="32">
        <v>13.9985</v>
      </c>
      <c r="H69" s="30">
        <v>11</v>
      </c>
      <c r="I69" s="32">
        <v>7.3951000000000002</v>
      </c>
      <c r="J69" s="30">
        <v>4062</v>
      </c>
      <c r="K69" s="32">
        <v>1.8785000000000001</v>
      </c>
      <c r="L69" s="33">
        <v>0.76970000000000005</v>
      </c>
      <c r="M69" s="31">
        <v>18530</v>
      </c>
      <c r="N69" s="34">
        <v>112</v>
      </c>
      <c r="O69" s="33">
        <v>0.84219999999999995</v>
      </c>
      <c r="P69" s="31">
        <v>6453</v>
      </c>
      <c r="Q69" s="35">
        <v>232</v>
      </c>
    </row>
    <row r="71" spans="2:17" x14ac:dyDescent="0.3">
      <c r="B71" s="38" t="s">
        <v>33</v>
      </c>
    </row>
    <row r="72" spans="2:17" s="1" customFormat="1" ht="43.2" x14ac:dyDescent="0.3">
      <c r="B72" s="2" t="s">
        <v>0</v>
      </c>
      <c r="C72" s="23" t="s">
        <v>1</v>
      </c>
      <c r="D72" s="23" t="s">
        <v>16</v>
      </c>
      <c r="E72" s="23" t="s">
        <v>17</v>
      </c>
      <c r="F72" s="24" t="s">
        <v>18</v>
      </c>
      <c r="G72" s="24" t="s">
        <v>2</v>
      </c>
      <c r="H72" s="26" t="s">
        <v>19</v>
      </c>
      <c r="I72" s="26" t="s">
        <v>3</v>
      </c>
      <c r="J72" s="27" t="s">
        <v>20</v>
      </c>
      <c r="K72" s="27" t="s">
        <v>4</v>
      </c>
      <c r="L72" s="25" t="s">
        <v>5</v>
      </c>
      <c r="M72" s="25" t="s">
        <v>6</v>
      </c>
      <c r="N72" s="25" t="s">
        <v>7</v>
      </c>
      <c r="O72" s="28" t="s">
        <v>8</v>
      </c>
      <c r="P72" s="28" t="s">
        <v>9</v>
      </c>
      <c r="Q72" s="28" t="s">
        <v>10</v>
      </c>
    </row>
    <row r="73" spans="2:17" x14ac:dyDescent="0.3">
      <c r="B73" s="21" t="s">
        <v>12</v>
      </c>
      <c r="C73" s="4">
        <v>17398</v>
      </c>
      <c r="D73" s="5">
        <v>8213</v>
      </c>
      <c r="E73" s="6">
        <v>7.1837</v>
      </c>
      <c r="F73" s="10" t="s">
        <v>21</v>
      </c>
      <c r="G73" s="11" t="s">
        <v>21</v>
      </c>
      <c r="H73" s="4">
        <v>8070</v>
      </c>
      <c r="I73" s="6">
        <v>7.5221</v>
      </c>
      <c r="J73" s="4">
        <v>778</v>
      </c>
      <c r="K73" s="6">
        <v>3.6806999999999999</v>
      </c>
      <c r="L73" s="14">
        <v>1.5347</v>
      </c>
      <c r="M73" s="5">
        <v>38309</v>
      </c>
      <c r="N73" s="15">
        <v>6014</v>
      </c>
      <c r="O73" s="18" t="s">
        <v>21</v>
      </c>
      <c r="P73" s="19" t="s">
        <v>21</v>
      </c>
      <c r="Q73" s="20" t="s">
        <v>21</v>
      </c>
    </row>
    <row r="74" spans="2:17" x14ac:dyDescent="0.3">
      <c r="B74" s="22" t="s">
        <v>13</v>
      </c>
      <c r="C74" s="7">
        <v>16216</v>
      </c>
      <c r="D74" s="8">
        <v>7734</v>
      </c>
      <c r="E74" s="9">
        <v>13.389699999999999</v>
      </c>
      <c r="F74" s="7">
        <v>2574</v>
      </c>
      <c r="G74" s="9">
        <v>25.2575</v>
      </c>
      <c r="H74" s="7">
        <v>1212</v>
      </c>
      <c r="I74" s="9">
        <v>9.9201999999999995</v>
      </c>
      <c r="J74" s="7">
        <v>10266</v>
      </c>
      <c r="K74" s="9">
        <v>9.6644000000000005</v>
      </c>
      <c r="L74" s="16">
        <v>0.37959999999999999</v>
      </c>
      <c r="M74" s="8">
        <v>28905</v>
      </c>
      <c r="N74" s="17">
        <v>523</v>
      </c>
      <c r="O74" s="16">
        <v>2.2888999999999999</v>
      </c>
      <c r="P74" s="8">
        <v>9656</v>
      </c>
      <c r="Q74" s="17">
        <v>1494</v>
      </c>
    </row>
    <row r="75" spans="2:17" x14ac:dyDescent="0.3">
      <c r="B75" s="22" t="s">
        <v>14</v>
      </c>
      <c r="C75" s="7">
        <v>4</v>
      </c>
      <c r="D75" s="8">
        <v>3</v>
      </c>
      <c r="E75" s="9">
        <v>3.9447000000000001</v>
      </c>
      <c r="F75" s="7">
        <v>1</v>
      </c>
      <c r="G75" s="9">
        <v>11.622400000000001</v>
      </c>
      <c r="H75" s="12">
        <v>0</v>
      </c>
      <c r="I75" s="13">
        <v>0</v>
      </c>
      <c r="J75" s="7">
        <v>2</v>
      </c>
      <c r="K75" s="9">
        <v>0.10580000000000001</v>
      </c>
      <c r="L75" s="16">
        <v>0.35680000000000001</v>
      </c>
      <c r="M75" s="8">
        <v>12</v>
      </c>
      <c r="N75" s="17">
        <v>0</v>
      </c>
      <c r="O75" s="16">
        <v>0.13239999999999999</v>
      </c>
      <c r="P75" s="8">
        <v>4</v>
      </c>
      <c r="Q75" s="17">
        <v>0</v>
      </c>
    </row>
    <row r="76" spans="2:17" x14ac:dyDescent="0.3">
      <c r="B76" s="29" t="s">
        <v>15</v>
      </c>
      <c r="C76" s="30">
        <v>10041</v>
      </c>
      <c r="D76" s="31">
        <v>4448</v>
      </c>
      <c r="E76" s="32">
        <v>8.4705999999999992</v>
      </c>
      <c r="F76" s="30">
        <v>2248</v>
      </c>
      <c r="G76" s="32">
        <v>16.327100000000002</v>
      </c>
      <c r="H76" s="30">
        <v>26</v>
      </c>
      <c r="I76" s="32">
        <v>7.1566999999999998</v>
      </c>
      <c r="J76" s="30">
        <v>6732</v>
      </c>
      <c r="K76" s="32">
        <v>3.3721000000000001</v>
      </c>
      <c r="L76" s="33">
        <v>0.50760000000000005</v>
      </c>
      <c r="M76" s="31">
        <v>17544</v>
      </c>
      <c r="N76" s="34">
        <v>63</v>
      </c>
      <c r="O76" s="33">
        <v>0.72499999999999998</v>
      </c>
      <c r="P76" s="31">
        <v>6296</v>
      </c>
      <c r="Q76" s="35">
        <v>178</v>
      </c>
    </row>
    <row r="78" spans="2:17" x14ac:dyDescent="0.3">
      <c r="B78" s="38" t="s">
        <v>34</v>
      </c>
    </row>
    <row r="79" spans="2:17" s="1" customFormat="1" ht="43.2" x14ac:dyDescent="0.3">
      <c r="B79" s="2" t="s">
        <v>0</v>
      </c>
      <c r="C79" s="23" t="s">
        <v>1</v>
      </c>
      <c r="D79" s="23" t="s">
        <v>16</v>
      </c>
      <c r="E79" s="23" t="s">
        <v>17</v>
      </c>
      <c r="F79" s="24" t="s">
        <v>18</v>
      </c>
      <c r="G79" s="24" t="s">
        <v>2</v>
      </c>
      <c r="H79" s="26" t="s">
        <v>19</v>
      </c>
      <c r="I79" s="26" t="s">
        <v>3</v>
      </c>
      <c r="J79" s="27" t="s">
        <v>20</v>
      </c>
      <c r="K79" s="27" t="s">
        <v>4</v>
      </c>
      <c r="L79" s="25" t="s">
        <v>5</v>
      </c>
      <c r="M79" s="25" t="s">
        <v>6</v>
      </c>
      <c r="N79" s="25" t="s">
        <v>7</v>
      </c>
      <c r="O79" s="28" t="s">
        <v>8</v>
      </c>
      <c r="P79" s="28" t="s">
        <v>9</v>
      </c>
      <c r="Q79" s="28" t="s">
        <v>10</v>
      </c>
    </row>
    <row r="80" spans="2:17" x14ac:dyDescent="0.3">
      <c r="B80" s="21" t="s">
        <v>12</v>
      </c>
      <c r="C80" s="4">
        <v>14251</v>
      </c>
      <c r="D80" s="5">
        <v>7810</v>
      </c>
      <c r="E80" s="6">
        <v>11.484299999999999</v>
      </c>
      <c r="F80" s="10" t="s">
        <v>21</v>
      </c>
      <c r="G80" s="11" t="s">
        <v>21</v>
      </c>
      <c r="H80" s="4">
        <v>7387</v>
      </c>
      <c r="I80" s="6">
        <v>11.6325</v>
      </c>
      <c r="J80" s="4">
        <v>698</v>
      </c>
      <c r="K80" s="6">
        <v>8.0578000000000003</v>
      </c>
      <c r="L80" s="14">
        <v>1.6074999999999999</v>
      </c>
      <c r="M80" s="5">
        <v>35585</v>
      </c>
      <c r="N80" s="15">
        <v>5183</v>
      </c>
      <c r="O80" s="18" t="s">
        <v>21</v>
      </c>
      <c r="P80" s="19" t="s">
        <v>21</v>
      </c>
      <c r="Q80" s="20" t="s">
        <v>21</v>
      </c>
    </row>
    <row r="81" spans="2:17" x14ac:dyDescent="0.3">
      <c r="B81" s="22" t="s">
        <v>13</v>
      </c>
      <c r="C81" s="7">
        <v>15341</v>
      </c>
      <c r="D81" s="8">
        <v>16404</v>
      </c>
      <c r="E81" s="9">
        <v>37.470199999999998</v>
      </c>
      <c r="F81" s="7">
        <v>4434</v>
      </c>
      <c r="G81" s="9">
        <v>40.306100000000001</v>
      </c>
      <c r="H81" s="7">
        <v>891</v>
      </c>
      <c r="I81" s="9">
        <v>58.473199999999999</v>
      </c>
      <c r="J81" s="7">
        <v>12237</v>
      </c>
      <c r="K81" s="9">
        <v>33.215499999999999</v>
      </c>
      <c r="L81" s="16">
        <v>0.59970000000000001</v>
      </c>
      <c r="M81" s="8">
        <v>32013</v>
      </c>
      <c r="N81" s="17">
        <v>108</v>
      </c>
      <c r="O81" s="16">
        <v>1.8142</v>
      </c>
      <c r="P81" s="8">
        <v>10822</v>
      </c>
      <c r="Q81" s="17">
        <v>1028</v>
      </c>
    </row>
    <row r="82" spans="2:17" x14ac:dyDescent="0.3">
      <c r="B82" s="22" t="s">
        <v>14</v>
      </c>
      <c r="C82" s="7">
        <v>3</v>
      </c>
      <c r="D82" s="8">
        <v>3</v>
      </c>
      <c r="E82" s="9">
        <v>7.1379000000000001</v>
      </c>
      <c r="F82" s="7">
        <v>2</v>
      </c>
      <c r="G82" s="9">
        <v>16.171299999999999</v>
      </c>
      <c r="H82" s="12">
        <v>0</v>
      </c>
      <c r="I82" s="13">
        <v>0</v>
      </c>
      <c r="J82" s="7">
        <v>2</v>
      </c>
      <c r="K82" s="9">
        <v>7.7100000000000002E-2</v>
      </c>
      <c r="L82" s="16">
        <v>1.2438</v>
      </c>
      <c r="M82" s="8">
        <v>9</v>
      </c>
      <c r="N82" s="17">
        <v>0</v>
      </c>
      <c r="O82" s="16">
        <v>1.2999999999999999E-3</v>
      </c>
      <c r="P82" s="8">
        <v>3</v>
      </c>
      <c r="Q82" s="17">
        <v>0</v>
      </c>
    </row>
    <row r="83" spans="2:17" x14ac:dyDescent="0.3">
      <c r="B83" s="29" t="s">
        <v>15</v>
      </c>
      <c r="C83" s="30">
        <v>7906</v>
      </c>
      <c r="D83" s="31">
        <v>9185</v>
      </c>
      <c r="E83" s="32">
        <v>33.904200000000003</v>
      </c>
      <c r="F83" s="30">
        <v>2930</v>
      </c>
      <c r="G83" s="32">
        <v>38.8857</v>
      </c>
      <c r="H83" s="30">
        <v>42</v>
      </c>
      <c r="I83" s="32">
        <v>26.5825</v>
      </c>
      <c r="J83" s="30">
        <v>6933</v>
      </c>
      <c r="K83" s="32">
        <v>29.537700000000001</v>
      </c>
      <c r="L83" s="33">
        <v>0.70540000000000003</v>
      </c>
      <c r="M83" s="31">
        <v>16554</v>
      </c>
      <c r="N83" s="34">
        <v>123</v>
      </c>
      <c r="O83" s="33">
        <v>0.55359999999999998</v>
      </c>
      <c r="P83" s="31">
        <v>5688</v>
      </c>
      <c r="Q83" s="35">
        <v>125</v>
      </c>
    </row>
    <row r="85" spans="2:17" x14ac:dyDescent="0.3">
      <c r="B85" s="38" t="s">
        <v>35</v>
      </c>
    </row>
    <row r="86" spans="2:17" s="1" customFormat="1" ht="43.2" x14ac:dyDescent="0.3">
      <c r="B86" s="2" t="s">
        <v>0</v>
      </c>
      <c r="C86" s="23" t="s">
        <v>1</v>
      </c>
      <c r="D86" s="23" t="s">
        <v>16</v>
      </c>
      <c r="E86" s="23" t="s">
        <v>17</v>
      </c>
      <c r="F86" s="24" t="s">
        <v>18</v>
      </c>
      <c r="G86" s="24" t="s">
        <v>2</v>
      </c>
      <c r="H86" s="26" t="s">
        <v>19</v>
      </c>
      <c r="I86" s="26" t="s">
        <v>3</v>
      </c>
      <c r="J86" s="27" t="s">
        <v>20</v>
      </c>
      <c r="K86" s="27" t="s">
        <v>4</v>
      </c>
      <c r="L86" s="25" t="s">
        <v>5</v>
      </c>
      <c r="M86" s="25" t="s">
        <v>6</v>
      </c>
      <c r="N86" s="25" t="s">
        <v>7</v>
      </c>
      <c r="O86" s="28" t="s">
        <v>8</v>
      </c>
      <c r="P86" s="28" t="s">
        <v>9</v>
      </c>
      <c r="Q86" s="28" t="s">
        <v>10</v>
      </c>
    </row>
    <row r="87" spans="2:17" x14ac:dyDescent="0.3">
      <c r="B87" s="21" t="s">
        <v>12</v>
      </c>
      <c r="C87" s="4">
        <v>10604</v>
      </c>
      <c r="D87" s="5">
        <v>7239</v>
      </c>
      <c r="E87" s="6">
        <v>9.4321000000000002</v>
      </c>
      <c r="F87" s="10" t="s">
        <v>21</v>
      </c>
      <c r="G87" s="11" t="s">
        <v>21</v>
      </c>
      <c r="H87" s="4">
        <v>6915</v>
      </c>
      <c r="I87" s="6">
        <v>9.7281999999999993</v>
      </c>
      <c r="J87" s="4">
        <v>613</v>
      </c>
      <c r="K87" s="6">
        <v>5.3048999999999999</v>
      </c>
      <c r="L87" s="14">
        <v>1.6857</v>
      </c>
      <c r="M87" s="5">
        <v>27653</v>
      </c>
      <c r="N87" s="15">
        <v>3420</v>
      </c>
      <c r="O87" s="18" t="s">
        <v>21</v>
      </c>
      <c r="P87" s="19" t="s">
        <v>21</v>
      </c>
      <c r="Q87" s="20" t="s">
        <v>21</v>
      </c>
    </row>
    <row r="88" spans="2:17" x14ac:dyDescent="0.3">
      <c r="B88" s="22" t="s">
        <v>13</v>
      </c>
      <c r="C88" s="7">
        <v>17054</v>
      </c>
      <c r="D88" s="8">
        <v>11228</v>
      </c>
      <c r="E88" s="9">
        <v>13.5663</v>
      </c>
      <c r="F88" s="7">
        <v>1035</v>
      </c>
      <c r="G88" s="9">
        <v>33.182600000000001</v>
      </c>
      <c r="H88" s="7">
        <v>824</v>
      </c>
      <c r="I88" s="9">
        <v>11.4201</v>
      </c>
      <c r="J88" s="7">
        <v>10142</v>
      </c>
      <c r="K88" s="9">
        <v>11.0382</v>
      </c>
      <c r="L88" s="16">
        <v>0.96619999999999995</v>
      </c>
      <c r="M88" s="8">
        <v>38809</v>
      </c>
      <c r="N88" s="17">
        <v>2280</v>
      </c>
      <c r="O88" s="16">
        <v>2.5605000000000002</v>
      </c>
      <c r="P88" s="8">
        <v>12232</v>
      </c>
      <c r="Q88" s="17">
        <v>2328</v>
      </c>
    </row>
    <row r="89" spans="2:17" x14ac:dyDescent="0.3">
      <c r="B89" s="22" t="s">
        <v>14</v>
      </c>
      <c r="C89" s="7">
        <v>0</v>
      </c>
      <c r="D89" s="8">
        <v>1</v>
      </c>
      <c r="E89" s="9">
        <v>21.402699999999999</v>
      </c>
      <c r="F89" s="7">
        <v>1</v>
      </c>
      <c r="G89" s="9">
        <v>21.402699999999999</v>
      </c>
      <c r="H89" s="12">
        <v>0</v>
      </c>
      <c r="I89" s="13">
        <v>0</v>
      </c>
      <c r="J89" s="7">
        <v>0</v>
      </c>
      <c r="K89" s="9">
        <v>0</v>
      </c>
      <c r="L89" s="16">
        <v>0</v>
      </c>
      <c r="M89" s="8">
        <v>0</v>
      </c>
      <c r="N89" s="17">
        <v>0</v>
      </c>
      <c r="O89" s="16">
        <v>0</v>
      </c>
      <c r="P89" s="8">
        <v>0</v>
      </c>
      <c r="Q89" s="17">
        <v>0</v>
      </c>
    </row>
    <row r="90" spans="2:17" x14ac:dyDescent="0.3">
      <c r="B90" s="29" t="s">
        <v>15</v>
      </c>
      <c r="C90" s="30">
        <v>13046</v>
      </c>
      <c r="D90" s="31">
        <v>6793</v>
      </c>
      <c r="E90" s="32">
        <v>5.1329000000000002</v>
      </c>
      <c r="F90" s="30">
        <v>543</v>
      </c>
      <c r="G90" s="32">
        <v>20.955400000000001</v>
      </c>
      <c r="H90" s="30">
        <v>1035</v>
      </c>
      <c r="I90" s="32">
        <v>8.2218</v>
      </c>
      <c r="J90" s="30">
        <v>5845</v>
      </c>
      <c r="K90" s="32">
        <v>2.9335</v>
      </c>
      <c r="L90" s="33">
        <v>0.97009999999999996</v>
      </c>
      <c r="M90" s="31">
        <v>31054</v>
      </c>
      <c r="N90" s="34">
        <v>1858</v>
      </c>
      <c r="O90" s="33">
        <v>0.92269999999999996</v>
      </c>
      <c r="P90" s="31">
        <v>10571</v>
      </c>
      <c r="Q90" s="35">
        <v>443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6:R90"/>
  <sheetViews>
    <sheetView showGridLines="0" topLeftCell="A37" zoomScaleNormal="100" workbookViewId="0">
      <selection activeCell="E67" sqref="E67"/>
    </sheetView>
  </sheetViews>
  <sheetFormatPr defaultRowHeight="14.4" x14ac:dyDescent="0.3"/>
  <cols>
    <col min="1" max="1" width="2.5546875" customWidth="1"/>
    <col min="2" max="2" width="27" bestFit="1" customWidth="1"/>
    <col min="3" max="3" width="8.21875" bestFit="1" customWidth="1"/>
    <col min="4" max="4" width="12" bestFit="1" customWidth="1"/>
    <col min="5" max="5" width="13.44140625" bestFit="1" customWidth="1"/>
    <col min="6" max="6" width="22" bestFit="1" customWidth="1"/>
    <col min="7" max="7" width="13.77734375" bestFit="1" customWidth="1"/>
    <col min="8" max="8" width="19.5546875" bestFit="1" customWidth="1"/>
    <col min="9" max="9" width="13.77734375" bestFit="1" customWidth="1"/>
    <col min="10" max="10" width="19.5546875" bestFit="1" customWidth="1"/>
    <col min="11" max="12" width="13.44140625" bestFit="1" customWidth="1"/>
    <col min="13" max="13" width="11" bestFit="1" customWidth="1"/>
    <col min="14" max="14" width="9.5546875" bestFit="1" customWidth="1"/>
    <col min="15" max="15" width="13.77734375" bestFit="1" customWidth="1"/>
    <col min="16" max="17" width="11.21875" bestFit="1" customWidth="1"/>
  </cols>
  <sheetData>
    <row r="6" spans="2:18" x14ac:dyDescent="0.3">
      <c r="B6" s="39" t="s">
        <v>22</v>
      </c>
    </row>
    <row r="7" spans="2:18" x14ac:dyDescent="0.3">
      <c r="B7" s="3"/>
    </row>
    <row r="8" spans="2:18" x14ac:dyDescent="0.3">
      <c r="B8" s="38" t="s">
        <v>24</v>
      </c>
    </row>
    <row r="9" spans="2:18" s="1" customFormat="1" ht="43.2" x14ac:dyDescent="0.3">
      <c r="B9" s="2" t="s">
        <v>0</v>
      </c>
      <c r="C9" s="23" t="s">
        <v>1</v>
      </c>
      <c r="D9" s="23" t="s">
        <v>16</v>
      </c>
      <c r="E9" s="23" t="s">
        <v>17</v>
      </c>
      <c r="F9" s="24" t="s">
        <v>18</v>
      </c>
      <c r="G9" s="24" t="s">
        <v>2</v>
      </c>
      <c r="H9" s="26" t="s">
        <v>19</v>
      </c>
      <c r="I9" s="26" t="s">
        <v>3</v>
      </c>
      <c r="J9" s="27" t="s">
        <v>20</v>
      </c>
      <c r="K9" s="27" t="s">
        <v>4</v>
      </c>
      <c r="L9" s="25" t="s">
        <v>5</v>
      </c>
      <c r="M9" s="25" t="s">
        <v>6</v>
      </c>
      <c r="N9" s="25" t="s">
        <v>7</v>
      </c>
      <c r="O9" s="28" t="s">
        <v>8</v>
      </c>
      <c r="P9" s="28" t="s">
        <v>9</v>
      </c>
      <c r="Q9" s="28" t="s">
        <v>10</v>
      </c>
    </row>
    <row r="10" spans="2:18" x14ac:dyDescent="0.3">
      <c r="B10" s="21" t="s">
        <v>12</v>
      </c>
      <c r="C10" s="4">
        <v>8526</v>
      </c>
      <c r="D10" s="5">
        <v>5122</v>
      </c>
      <c r="E10" s="6">
        <v>8.6471</v>
      </c>
      <c r="F10" s="10" t="s">
        <v>21</v>
      </c>
      <c r="G10" s="11" t="s">
        <v>21</v>
      </c>
      <c r="H10" s="4">
        <v>4876</v>
      </c>
      <c r="I10" s="6">
        <v>8.9161999999999999</v>
      </c>
      <c r="J10" s="4">
        <v>368</v>
      </c>
      <c r="K10" s="6">
        <v>5.1775000000000002</v>
      </c>
      <c r="L10" s="14">
        <v>1.64</v>
      </c>
      <c r="M10" s="5">
        <v>23958</v>
      </c>
      <c r="N10" s="15">
        <v>2686</v>
      </c>
      <c r="O10" s="18" t="s">
        <v>21</v>
      </c>
      <c r="P10" s="19" t="s">
        <v>21</v>
      </c>
      <c r="Q10" s="20" t="s">
        <v>21</v>
      </c>
    </row>
    <row r="11" spans="2:18" x14ac:dyDescent="0.3">
      <c r="B11" s="22" t="s">
        <v>13</v>
      </c>
      <c r="C11" s="7">
        <v>16618</v>
      </c>
      <c r="D11" s="8">
        <v>13599</v>
      </c>
      <c r="E11" s="9">
        <v>56.388199999999998</v>
      </c>
      <c r="F11" s="7">
        <v>50</v>
      </c>
      <c r="G11" s="9">
        <v>165.56270000000001</v>
      </c>
      <c r="H11" s="7">
        <v>1125</v>
      </c>
      <c r="I11" s="9">
        <v>15.1303</v>
      </c>
      <c r="J11" s="7">
        <v>13043</v>
      </c>
      <c r="K11" s="9">
        <v>57.715299999999999</v>
      </c>
      <c r="L11" s="16">
        <v>1.0873999999999999</v>
      </c>
      <c r="M11" s="8">
        <v>42857</v>
      </c>
      <c r="N11" s="17">
        <v>2545</v>
      </c>
      <c r="O11" s="16">
        <v>2.2362000000000002</v>
      </c>
      <c r="P11" s="8">
        <v>14291</v>
      </c>
      <c r="Q11" s="17">
        <v>2950</v>
      </c>
      <c r="R11" t="s">
        <v>11</v>
      </c>
    </row>
    <row r="12" spans="2:18" x14ac:dyDescent="0.3">
      <c r="B12" s="22" t="s">
        <v>14</v>
      </c>
      <c r="C12" s="7">
        <v>6</v>
      </c>
      <c r="D12" s="8">
        <v>5</v>
      </c>
      <c r="E12" s="9">
        <v>7.3939000000000004</v>
      </c>
      <c r="F12" s="7">
        <v>0</v>
      </c>
      <c r="G12" s="9">
        <v>0</v>
      </c>
      <c r="H12" s="12">
        <v>0</v>
      </c>
      <c r="I12" s="13">
        <v>0</v>
      </c>
      <c r="J12" s="7">
        <v>5</v>
      </c>
      <c r="K12" s="9">
        <v>7.3939000000000004</v>
      </c>
      <c r="L12" s="16">
        <v>1.2262</v>
      </c>
      <c r="M12" s="8">
        <v>18</v>
      </c>
      <c r="N12" s="17">
        <v>1</v>
      </c>
      <c r="O12" s="16">
        <v>1.6308</v>
      </c>
      <c r="P12" s="8">
        <v>6</v>
      </c>
      <c r="Q12" s="17">
        <v>1</v>
      </c>
      <c r="R12" t="s">
        <v>11</v>
      </c>
    </row>
    <row r="13" spans="2:18" x14ac:dyDescent="0.3">
      <c r="B13" s="29" t="s">
        <v>15</v>
      </c>
      <c r="C13" s="30">
        <v>11083</v>
      </c>
      <c r="D13" s="31">
        <v>6171</v>
      </c>
      <c r="E13" s="32">
        <v>7.2560000000000002</v>
      </c>
      <c r="F13" s="30">
        <v>20</v>
      </c>
      <c r="G13" s="32">
        <v>156.58580000000001</v>
      </c>
      <c r="H13" s="30">
        <v>1321</v>
      </c>
      <c r="I13" s="32">
        <v>9.1379999999999999</v>
      </c>
      <c r="J13" s="30">
        <v>5100</v>
      </c>
      <c r="K13" s="32">
        <v>6.0903</v>
      </c>
      <c r="L13" s="33">
        <v>1.1859</v>
      </c>
      <c r="M13" s="31">
        <v>28810</v>
      </c>
      <c r="N13" s="34">
        <v>2486</v>
      </c>
      <c r="O13" s="33">
        <v>1.1996</v>
      </c>
      <c r="P13" s="31">
        <v>8958</v>
      </c>
      <c r="Q13" s="35">
        <v>758</v>
      </c>
      <c r="R13" t="s">
        <v>11</v>
      </c>
    </row>
    <row r="15" spans="2:18" x14ac:dyDescent="0.3">
      <c r="B15" s="38" t="s">
        <v>25</v>
      </c>
    </row>
    <row r="16" spans="2:18" s="1" customFormat="1" ht="43.2" x14ac:dyDescent="0.3">
      <c r="B16" s="2" t="s">
        <v>0</v>
      </c>
      <c r="C16" s="23" t="s">
        <v>1</v>
      </c>
      <c r="D16" s="23" t="s">
        <v>16</v>
      </c>
      <c r="E16" s="23" t="s">
        <v>17</v>
      </c>
      <c r="F16" s="24" t="s">
        <v>18</v>
      </c>
      <c r="G16" s="24" t="s">
        <v>2</v>
      </c>
      <c r="H16" s="26" t="s">
        <v>19</v>
      </c>
      <c r="I16" s="26" t="s">
        <v>3</v>
      </c>
      <c r="J16" s="27" t="s">
        <v>20</v>
      </c>
      <c r="K16" s="27" t="s">
        <v>4</v>
      </c>
      <c r="L16" s="25" t="s">
        <v>5</v>
      </c>
      <c r="M16" s="25" t="s">
        <v>6</v>
      </c>
      <c r="N16" s="25" t="s">
        <v>7</v>
      </c>
      <c r="O16" s="28" t="s">
        <v>8</v>
      </c>
      <c r="P16" s="28" t="s">
        <v>9</v>
      </c>
      <c r="Q16" s="28" t="s">
        <v>10</v>
      </c>
    </row>
    <row r="17" spans="2:18" x14ac:dyDescent="0.3">
      <c r="B17" s="21" t="s">
        <v>12</v>
      </c>
      <c r="C17" s="4">
        <v>9875</v>
      </c>
      <c r="D17" s="5">
        <v>5099</v>
      </c>
      <c r="E17" s="6">
        <v>8.0709999999999997</v>
      </c>
      <c r="F17" s="10" t="s">
        <v>21</v>
      </c>
      <c r="G17" s="11" t="s">
        <v>21</v>
      </c>
      <c r="H17" s="4">
        <v>5040</v>
      </c>
      <c r="I17" s="6">
        <v>8.2797000000000001</v>
      </c>
      <c r="J17" s="4">
        <v>379</v>
      </c>
      <c r="K17" s="6">
        <v>5.5368000000000004</v>
      </c>
      <c r="L17" s="14">
        <v>1.6667000000000001</v>
      </c>
      <c r="M17" s="5">
        <v>25560</v>
      </c>
      <c r="N17" s="15">
        <v>3224</v>
      </c>
      <c r="O17" s="18" t="s">
        <v>21</v>
      </c>
      <c r="P17" s="19" t="s">
        <v>21</v>
      </c>
      <c r="Q17" s="20" t="s">
        <v>21</v>
      </c>
    </row>
    <row r="18" spans="2:18" x14ac:dyDescent="0.3">
      <c r="B18" s="22" t="s">
        <v>13</v>
      </c>
      <c r="C18" s="7">
        <v>17948</v>
      </c>
      <c r="D18" s="8">
        <v>13454</v>
      </c>
      <c r="E18" s="9">
        <v>9</v>
      </c>
      <c r="F18" s="7">
        <v>3</v>
      </c>
      <c r="G18" s="9">
        <v>263.76530000000002</v>
      </c>
      <c r="H18" s="7">
        <v>1090</v>
      </c>
      <c r="I18" s="9">
        <v>9</v>
      </c>
      <c r="J18" s="7">
        <v>13317</v>
      </c>
      <c r="K18" s="9">
        <v>9</v>
      </c>
      <c r="L18" s="16">
        <v>1.0037</v>
      </c>
      <c r="M18" s="8">
        <v>45676</v>
      </c>
      <c r="N18" s="17">
        <v>2117</v>
      </c>
      <c r="O18" s="16">
        <v>2.0497000000000001</v>
      </c>
      <c r="P18" s="8">
        <v>15460</v>
      </c>
      <c r="Q18" s="17">
        <v>2507</v>
      </c>
      <c r="R18" t="s">
        <v>11</v>
      </c>
    </row>
    <row r="19" spans="2:18" x14ac:dyDescent="0.3">
      <c r="B19" s="22" t="s">
        <v>14</v>
      </c>
      <c r="C19" s="7">
        <v>3</v>
      </c>
      <c r="D19" s="8">
        <v>2</v>
      </c>
      <c r="E19" s="9">
        <v>4</v>
      </c>
      <c r="F19" s="7">
        <v>0</v>
      </c>
      <c r="G19" s="9">
        <v>0</v>
      </c>
      <c r="H19" s="12">
        <v>0</v>
      </c>
      <c r="I19" s="13">
        <v>0</v>
      </c>
      <c r="J19" s="7">
        <v>2</v>
      </c>
      <c r="K19" s="9">
        <v>4</v>
      </c>
      <c r="L19" s="16">
        <v>1.1286</v>
      </c>
      <c r="M19" s="8">
        <v>7</v>
      </c>
      <c r="N19" s="17">
        <v>0</v>
      </c>
      <c r="O19" s="16">
        <v>0.5857</v>
      </c>
      <c r="P19" s="8">
        <v>2</v>
      </c>
      <c r="Q19" s="17">
        <v>0</v>
      </c>
      <c r="R19" t="s">
        <v>11</v>
      </c>
    </row>
    <row r="20" spans="2:18" x14ac:dyDescent="0.3">
      <c r="B20" s="29" t="s">
        <v>15</v>
      </c>
      <c r="C20" s="30">
        <v>9654</v>
      </c>
      <c r="D20" s="31">
        <v>5209</v>
      </c>
      <c r="E20" s="32">
        <v>5</v>
      </c>
      <c r="F20" s="30">
        <v>5</v>
      </c>
      <c r="G20" s="32">
        <v>226.9152</v>
      </c>
      <c r="H20" s="30">
        <v>1087</v>
      </c>
      <c r="I20" s="32">
        <v>7</v>
      </c>
      <c r="J20" s="30">
        <v>4475</v>
      </c>
      <c r="K20" s="32">
        <v>4</v>
      </c>
      <c r="L20" s="33">
        <v>1.2162999999999999</v>
      </c>
      <c r="M20" s="31">
        <v>23930</v>
      </c>
      <c r="N20" s="34">
        <v>1940</v>
      </c>
      <c r="O20" s="33">
        <v>1.1964999999999999</v>
      </c>
      <c r="P20" s="31">
        <v>7498</v>
      </c>
      <c r="Q20" s="35">
        <v>333</v>
      </c>
      <c r="R20" t="s">
        <v>11</v>
      </c>
    </row>
    <row r="22" spans="2:18" x14ac:dyDescent="0.3">
      <c r="B22" s="38" t="s">
        <v>26</v>
      </c>
    </row>
    <row r="23" spans="2:18" s="1" customFormat="1" ht="43.2" x14ac:dyDescent="0.3">
      <c r="B23" s="2" t="s">
        <v>0</v>
      </c>
      <c r="C23" s="23" t="s">
        <v>1</v>
      </c>
      <c r="D23" s="23" t="s">
        <v>16</v>
      </c>
      <c r="E23" s="23" t="s">
        <v>17</v>
      </c>
      <c r="F23" s="24" t="s">
        <v>18</v>
      </c>
      <c r="G23" s="24" t="s">
        <v>2</v>
      </c>
      <c r="H23" s="26" t="s">
        <v>19</v>
      </c>
      <c r="I23" s="26" t="s">
        <v>3</v>
      </c>
      <c r="J23" s="27" t="s">
        <v>20</v>
      </c>
      <c r="K23" s="27" t="s">
        <v>4</v>
      </c>
      <c r="L23" s="25" t="s">
        <v>5</v>
      </c>
      <c r="M23" s="25" t="s">
        <v>6</v>
      </c>
      <c r="N23" s="25" t="s">
        <v>7</v>
      </c>
      <c r="O23" s="28" t="s">
        <v>8</v>
      </c>
      <c r="P23" s="28" t="s">
        <v>9</v>
      </c>
      <c r="Q23" s="28" t="s">
        <v>10</v>
      </c>
    </row>
    <row r="24" spans="2:18" x14ac:dyDescent="0.3">
      <c r="B24" s="21" t="s">
        <v>12</v>
      </c>
      <c r="C24" s="4">
        <v>10557</v>
      </c>
      <c r="D24" s="5">
        <v>5923</v>
      </c>
      <c r="E24" s="6">
        <v>7</v>
      </c>
      <c r="F24" s="10" t="s">
        <v>36</v>
      </c>
      <c r="G24" s="11" t="s">
        <v>11</v>
      </c>
      <c r="H24" s="4">
        <v>5858</v>
      </c>
      <c r="I24" s="6">
        <v>7</v>
      </c>
      <c r="J24" s="4">
        <v>464</v>
      </c>
      <c r="K24" s="6">
        <v>5.4751000000000003</v>
      </c>
      <c r="L24" s="14">
        <v>1.8142</v>
      </c>
      <c r="M24" s="5">
        <v>27017</v>
      </c>
      <c r="N24" s="15">
        <v>3210</v>
      </c>
      <c r="O24" s="18" t="s">
        <v>36</v>
      </c>
      <c r="P24" s="19" t="s">
        <v>11</v>
      </c>
      <c r="Q24" s="20" t="s">
        <v>11</v>
      </c>
    </row>
    <row r="25" spans="2:18" x14ac:dyDescent="0.3">
      <c r="B25" s="22" t="s">
        <v>13</v>
      </c>
      <c r="C25" s="7">
        <v>18611</v>
      </c>
      <c r="D25" s="8">
        <v>14777</v>
      </c>
      <c r="E25" s="9">
        <v>5</v>
      </c>
      <c r="F25" s="7">
        <v>23</v>
      </c>
      <c r="G25" s="9">
        <v>309.62959999999998</v>
      </c>
      <c r="H25" s="7">
        <v>1355</v>
      </c>
      <c r="I25" s="9">
        <v>8</v>
      </c>
      <c r="J25" s="7">
        <v>14570</v>
      </c>
      <c r="K25" s="9">
        <v>5</v>
      </c>
      <c r="L25" s="16">
        <v>0.82199999999999995</v>
      </c>
      <c r="M25" s="8">
        <v>48257</v>
      </c>
      <c r="N25" s="17">
        <v>1941</v>
      </c>
      <c r="O25" s="16">
        <v>2.1038999999999999</v>
      </c>
      <c r="P25" s="8">
        <v>15879</v>
      </c>
      <c r="Q25" s="17">
        <v>2687</v>
      </c>
      <c r="R25" t="s">
        <v>11</v>
      </c>
    </row>
    <row r="26" spans="2:18" s="44" customFormat="1" x14ac:dyDescent="0.3">
      <c r="B26" s="22" t="s">
        <v>14</v>
      </c>
      <c r="C26" s="12">
        <v>5</v>
      </c>
      <c r="D26" s="40">
        <v>5</v>
      </c>
      <c r="E26" s="13">
        <v>8</v>
      </c>
      <c r="F26" s="12">
        <v>0</v>
      </c>
      <c r="G26" s="13">
        <v>0</v>
      </c>
      <c r="H26" s="12">
        <v>1</v>
      </c>
      <c r="I26" s="13">
        <v>18</v>
      </c>
      <c r="J26" s="12">
        <v>4</v>
      </c>
      <c r="K26" s="13">
        <v>6</v>
      </c>
      <c r="L26" s="41">
        <v>2.1339999999999999</v>
      </c>
      <c r="M26" s="40">
        <v>13</v>
      </c>
      <c r="N26" s="42">
        <v>1</v>
      </c>
      <c r="O26" s="41">
        <v>0.71489999999999998</v>
      </c>
      <c r="P26" s="43">
        <v>4</v>
      </c>
      <c r="Q26" s="42">
        <v>0</v>
      </c>
      <c r="R26" s="44" t="s">
        <v>11</v>
      </c>
    </row>
    <row r="27" spans="2:18" x14ac:dyDescent="0.3">
      <c r="B27" s="29" t="s">
        <v>15</v>
      </c>
      <c r="C27" s="30">
        <v>9258</v>
      </c>
      <c r="D27" s="31">
        <v>5012</v>
      </c>
      <c r="E27" s="32">
        <v>4</v>
      </c>
      <c r="F27" s="30">
        <v>4</v>
      </c>
      <c r="G27" s="32">
        <v>260.46949999999998</v>
      </c>
      <c r="H27" s="30">
        <v>1278</v>
      </c>
      <c r="I27" s="32">
        <v>7</v>
      </c>
      <c r="J27" s="30">
        <v>4087</v>
      </c>
      <c r="K27" s="32">
        <v>3</v>
      </c>
      <c r="L27" s="33">
        <v>1.0285</v>
      </c>
      <c r="M27" s="31">
        <v>23787</v>
      </c>
      <c r="N27" s="34">
        <v>1697</v>
      </c>
      <c r="O27" s="33">
        <v>0.71040000000000003</v>
      </c>
      <c r="P27" s="31">
        <v>7181</v>
      </c>
      <c r="Q27" s="35">
        <v>239</v>
      </c>
      <c r="R27" t="s">
        <v>11</v>
      </c>
    </row>
    <row r="29" spans="2:18" x14ac:dyDescent="0.3">
      <c r="B29" s="38" t="s">
        <v>27</v>
      </c>
    </row>
    <row r="30" spans="2:18" ht="43.2" x14ac:dyDescent="0.3">
      <c r="B30" s="2" t="s">
        <v>0</v>
      </c>
      <c r="C30" s="23" t="s">
        <v>1</v>
      </c>
      <c r="D30" s="23" t="s">
        <v>16</v>
      </c>
      <c r="E30" s="23" t="s">
        <v>17</v>
      </c>
      <c r="F30" s="24" t="s">
        <v>18</v>
      </c>
      <c r="G30" s="24" t="s">
        <v>2</v>
      </c>
      <c r="H30" s="26" t="s">
        <v>19</v>
      </c>
      <c r="I30" s="26" t="s">
        <v>3</v>
      </c>
      <c r="J30" s="27" t="s">
        <v>20</v>
      </c>
      <c r="K30" s="27" t="s">
        <v>4</v>
      </c>
      <c r="L30" s="25" t="s">
        <v>5</v>
      </c>
      <c r="M30" s="25" t="s">
        <v>6</v>
      </c>
      <c r="N30" s="25" t="s">
        <v>7</v>
      </c>
      <c r="O30" s="28" t="s">
        <v>8</v>
      </c>
      <c r="P30" s="28" t="s">
        <v>9</v>
      </c>
      <c r="Q30" s="28" t="s">
        <v>10</v>
      </c>
    </row>
    <row r="31" spans="2:18" x14ac:dyDescent="0.3">
      <c r="B31" s="21" t="s">
        <v>12</v>
      </c>
      <c r="C31" s="4">
        <v>10052</v>
      </c>
      <c r="D31" s="5">
        <v>5859</v>
      </c>
      <c r="E31" s="6">
        <v>7</v>
      </c>
      <c r="F31" s="10" t="s">
        <v>21</v>
      </c>
      <c r="G31" s="11" t="s">
        <v>21</v>
      </c>
      <c r="H31" s="4">
        <v>5251</v>
      </c>
      <c r="I31" s="6">
        <v>7</v>
      </c>
      <c r="J31" s="4">
        <v>608</v>
      </c>
      <c r="K31" s="6">
        <v>7.4539</v>
      </c>
      <c r="L31" s="14">
        <v>1.8117000000000001</v>
      </c>
      <c r="M31" s="5">
        <v>27199</v>
      </c>
      <c r="N31" s="15">
        <v>3076</v>
      </c>
      <c r="O31" s="18" t="s">
        <v>21</v>
      </c>
      <c r="P31" s="19" t="s">
        <v>21</v>
      </c>
      <c r="Q31" s="20" t="s">
        <v>21</v>
      </c>
    </row>
    <row r="32" spans="2:18" x14ac:dyDescent="0.3">
      <c r="B32" s="22" t="s">
        <v>13</v>
      </c>
      <c r="C32" s="7">
        <v>16436</v>
      </c>
      <c r="D32" s="8">
        <v>12424</v>
      </c>
      <c r="E32" s="9">
        <v>4</v>
      </c>
      <c r="F32" s="7">
        <v>0</v>
      </c>
      <c r="G32" s="9">
        <v>0</v>
      </c>
      <c r="H32" s="7">
        <v>1120</v>
      </c>
      <c r="I32" s="9">
        <v>8</v>
      </c>
      <c r="J32" s="7">
        <v>11304</v>
      </c>
      <c r="K32" s="9">
        <v>4</v>
      </c>
      <c r="L32" s="16">
        <v>0.83979999999999999</v>
      </c>
      <c r="M32" s="8">
        <v>44804</v>
      </c>
      <c r="N32" s="17">
        <v>2040</v>
      </c>
      <c r="O32" s="16">
        <v>2.3773</v>
      </c>
      <c r="P32" s="8">
        <v>14682</v>
      </c>
      <c r="Q32" s="17">
        <v>2355</v>
      </c>
    </row>
    <row r="33" spans="2:17" x14ac:dyDescent="0.3">
      <c r="B33" s="22" t="s">
        <v>14</v>
      </c>
      <c r="C33" s="12">
        <v>5</v>
      </c>
      <c r="D33" s="40">
        <v>3</v>
      </c>
      <c r="E33" s="13">
        <v>2</v>
      </c>
      <c r="F33" s="12">
        <v>0</v>
      </c>
      <c r="G33" s="13">
        <v>0</v>
      </c>
      <c r="H33" s="12">
        <v>0</v>
      </c>
      <c r="I33" s="13">
        <v>0</v>
      </c>
      <c r="J33" s="12">
        <v>3</v>
      </c>
      <c r="K33" s="13">
        <v>2</v>
      </c>
      <c r="L33" s="41">
        <v>0.58099999999999996</v>
      </c>
      <c r="M33" s="40">
        <v>16</v>
      </c>
      <c r="N33" s="42">
        <v>1</v>
      </c>
      <c r="O33" s="41">
        <v>1.6584000000000001</v>
      </c>
      <c r="P33" s="43">
        <v>5</v>
      </c>
      <c r="Q33" s="42">
        <v>0</v>
      </c>
    </row>
    <row r="34" spans="2:17" x14ac:dyDescent="0.3">
      <c r="B34" s="29" t="s">
        <v>15</v>
      </c>
      <c r="C34" s="30">
        <v>8387</v>
      </c>
      <c r="D34" s="31">
        <v>4379</v>
      </c>
      <c r="E34" s="32">
        <v>4</v>
      </c>
      <c r="F34" s="30">
        <v>3</v>
      </c>
      <c r="G34" s="32">
        <v>194.46520000000001</v>
      </c>
      <c r="H34" s="30">
        <v>1119</v>
      </c>
      <c r="I34" s="32">
        <v>6</v>
      </c>
      <c r="J34" s="30">
        <v>3260</v>
      </c>
      <c r="K34" s="32">
        <v>3.4485000000000001</v>
      </c>
      <c r="L34" s="33">
        <v>0.93269999999999997</v>
      </c>
      <c r="M34" s="31">
        <v>21380</v>
      </c>
      <c r="N34" s="34">
        <v>1298</v>
      </c>
      <c r="O34" s="33">
        <v>0.85870000000000002</v>
      </c>
      <c r="P34" s="31">
        <v>6201</v>
      </c>
      <c r="Q34" s="35">
        <v>306</v>
      </c>
    </row>
    <row r="36" spans="2:17" x14ac:dyDescent="0.3">
      <c r="B36" s="38" t="s">
        <v>28</v>
      </c>
    </row>
    <row r="37" spans="2:17" ht="43.2" x14ac:dyDescent="0.3">
      <c r="B37" s="2" t="s">
        <v>0</v>
      </c>
      <c r="C37" s="23" t="s">
        <v>1</v>
      </c>
      <c r="D37" s="23" t="s">
        <v>16</v>
      </c>
      <c r="E37" s="23" t="s">
        <v>17</v>
      </c>
      <c r="F37" s="24" t="s">
        <v>18</v>
      </c>
      <c r="G37" s="24" t="s">
        <v>2</v>
      </c>
      <c r="H37" s="26" t="s">
        <v>19</v>
      </c>
      <c r="I37" s="26" t="s">
        <v>3</v>
      </c>
      <c r="J37" s="27" t="s">
        <v>20</v>
      </c>
      <c r="K37" s="27" t="s">
        <v>4</v>
      </c>
      <c r="L37" s="25" t="s">
        <v>5</v>
      </c>
      <c r="M37" s="25" t="s">
        <v>6</v>
      </c>
      <c r="N37" s="25" t="s">
        <v>7</v>
      </c>
      <c r="O37" s="28" t="s">
        <v>8</v>
      </c>
      <c r="P37" s="28" t="s">
        <v>9</v>
      </c>
      <c r="Q37" s="28" t="s">
        <v>10</v>
      </c>
    </row>
    <row r="38" spans="2:17" x14ac:dyDescent="0.3">
      <c r="B38" s="21" t="s">
        <v>12</v>
      </c>
      <c r="C38" s="4">
        <v>10599</v>
      </c>
      <c r="D38" s="5">
        <v>6657</v>
      </c>
      <c r="E38" s="6">
        <v>7</v>
      </c>
      <c r="F38" s="10" t="s">
        <v>21</v>
      </c>
      <c r="G38" s="11" t="s">
        <v>21</v>
      </c>
      <c r="H38" s="4">
        <v>5965</v>
      </c>
      <c r="I38" s="6">
        <v>7</v>
      </c>
      <c r="J38" s="4">
        <v>692</v>
      </c>
      <c r="K38" s="6">
        <v>1.2257</v>
      </c>
      <c r="L38" s="14">
        <v>1.6962999999999999</v>
      </c>
      <c r="M38" s="5">
        <v>28711</v>
      </c>
      <c r="N38" s="15">
        <v>2367</v>
      </c>
      <c r="O38" s="18" t="s">
        <v>21</v>
      </c>
      <c r="P38" s="19" t="s">
        <v>21</v>
      </c>
      <c r="Q38" s="20" t="s">
        <v>21</v>
      </c>
    </row>
    <row r="39" spans="2:17" x14ac:dyDescent="0.3">
      <c r="B39" s="22" t="s">
        <v>13</v>
      </c>
      <c r="C39" s="7">
        <v>18911</v>
      </c>
      <c r="D39" s="8">
        <v>14465</v>
      </c>
      <c r="E39" s="9">
        <v>4</v>
      </c>
      <c r="F39" s="7">
        <v>0</v>
      </c>
      <c r="G39" s="9">
        <v>0</v>
      </c>
      <c r="H39" s="7">
        <v>1205</v>
      </c>
      <c r="I39" s="9">
        <v>7</v>
      </c>
      <c r="J39" s="7">
        <v>13260</v>
      </c>
      <c r="K39" s="9">
        <v>4</v>
      </c>
      <c r="L39" s="16">
        <v>0.77010000000000001</v>
      </c>
      <c r="M39" s="8">
        <v>50735</v>
      </c>
      <c r="N39" s="17">
        <v>842</v>
      </c>
      <c r="O39" s="16">
        <v>2.1063000000000001</v>
      </c>
      <c r="P39" s="8">
        <v>16945</v>
      </c>
      <c r="Q39" s="17">
        <v>2694</v>
      </c>
    </row>
    <row r="40" spans="2:17" x14ac:dyDescent="0.3">
      <c r="B40" s="22" t="s">
        <v>14</v>
      </c>
      <c r="C40" s="12">
        <v>6</v>
      </c>
      <c r="D40" s="40">
        <v>7</v>
      </c>
      <c r="E40" s="13">
        <v>3</v>
      </c>
      <c r="F40" s="12">
        <v>0</v>
      </c>
      <c r="G40" s="13">
        <v>0</v>
      </c>
      <c r="H40" s="12">
        <v>1</v>
      </c>
      <c r="I40" s="13">
        <v>5</v>
      </c>
      <c r="J40" s="12">
        <v>6</v>
      </c>
      <c r="K40" s="13">
        <v>3</v>
      </c>
      <c r="L40" s="41">
        <v>0.28620000000000001</v>
      </c>
      <c r="M40" s="40">
        <v>18</v>
      </c>
      <c r="N40" s="42">
        <v>0</v>
      </c>
      <c r="O40" s="41">
        <v>1.9758</v>
      </c>
      <c r="P40" s="43">
        <v>6</v>
      </c>
      <c r="Q40" s="42">
        <v>1</v>
      </c>
    </row>
    <row r="41" spans="2:17" x14ac:dyDescent="0.3">
      <c r="B41" s="29" t="s">
        <v>15</v>
      </c>
      <c r="C41" s="30">
        <v>8826</v>
      </c>
      <c r="D41" s="31">
        <v>4529</v>
      </c>
      <c r="E41" s="32">
        <v>3</v>
      </c>
      <c r="F41" s="30">
        <v>3</v>
      </c>
      <c r="G41" s="32">
        <v>190.57820000000001</v>
      </c>
      <c r="H41" s="30">
        <v>1127</v>
      </c>
      <c r="I41" s="32">
        <v>6</v>
      </c>
      <c r="J41" s="30">
        <v>3402</v>
      </c>
      <c r="K41" s="32">
        <v>2</v>
      </c>
      <c r="L41" s="33">
        <v>0.77890000000000004</v>
      </c>
      <c r="M41" s="31">
        <v>22439</v>
      </c>
      <c r="N41" s="34">
        <v>472</v>
      </c>
      <c r="O41" s="33">
        <v>0.79630000000000001</v>
      </c>
      <c r="P41" s="31">
        <v>6531</v>
      </c>
      <c r="Q41" s="35">
        <v>325</v>
      </c>
    </row>
    <row r="43" spans="2:17" x14ac:dyDescent="0.3">
      <c r="B43" s="38" t="s">
        <v>29</v>
      </c>
    </row>
    <row r="44" spans="2:17" ht="43.2" x14ac:dyDescent="0.3">
      <c r="B44" s="2" t="s">
        <v>0</v>
      </c>
      <c r="C44" s="23" t="s">
        <v>1</v>
      </c>
      <c r="D44" s="23" t="s">
        <v>16</v>
      </c>
      <c r="E44" s="23" t="s">
        <v>17</v>
      </c>
      <c r="F44" s="24" t="s">
        <v>18</v>
      </c>
      <c r="G44" s="24" t="s">
        <v>2</v>
      </c>
      <c r="H44" s="26" t="s">
        <v>19</v>
      </c>
      <c r="I44" s="26" t="s">
        <v>3</v>
      </c>
      <c r="J44" s="27" t="s">
        <v>20</v>
      </c>
      <c r="K44" s="27" t="s">
        <v>4</v>
      </c>
      <c r="L44" s="25" t="s">
        <v>5</v>
      </c>
      <c r="M44" s="25" t="s">
        <v>6</v>
      </c>
      <c r="N44" s="25" t="s">
        <v>7</v>
      </c>
      <c r="O44" s="28" t="s">
        <v>8</v>
      </c>
      <c r="P44" s="28" t="s">
        <v>9</v>
      </c>
      <c r="Q44" s="28" t="s">
        <v>10</v>
      </c>
    </row>
    <row r="45" spans="2:17" x14ac:dyDescent="0.3">
      <c r="B45" s="21" t="s">
        <v>12</v>
      </c>
      <c r="C45" s="4">
        <v>13063</v>
      </c>
      <c r="D45" s="5">
        <v>5567</v>
      </c>
      <c r="E45" s="6">
        <v>6</v>
      </c>
      <c r="F45" s="10" t="s">
        <v>21</v>
      </c>
      <c r="G45" s="11" t="s">
        <v>21</v>
      </c>
      <c r="H45" s="4">
        <v>4836</v>
      </c>
      <c r="I45" s="6">
        <v>6</v>
      </c>
      <c r="J45" s="4">
        <v>731</v>
      </c>
      <c r="K45" s="6">
        <v>2.1661999999999999</v>
      </c>
      <c r="L45" s="14">
        <v>1.7992999999999999</v>
      </c>
      <c r="M45" s="5">
        <v>32128</v>
      </c>
      <c r="N45" s="15">
        <v>3020</v>
      </c>
      <c r="O45" s="18" t="s">
        <v>21</v>
      </c>
      <c r="P45" s="19" t="s">
        <v>21</v>
      </c>
      <c r="Q45" s="20" t="s">
        <v>21</v>
      </c>
    </row>
    <row r="46" spans="2:17" x14ac:dyDescent="0.3">
      <c r="B46" s="22" t="s">
        <v>13</v>
      </c>
      <c r="C46" s="7">
        <v>17615</v>
      </c>
      <c r="D46" s="8">
        <v>12467</v>
      </c>
      <c r="E46" s="9">
        <v>4</v>
      </c>
      <c r="F46" s="7">
        <v>0</v>
      </c>
      <c r="G46" s="9">
        <v>0</v>
      </c>
      <c r="H46" s="7">
        <v>792</v>
      </c>
      <c r="I46" s="9">
        <v>7</v>
      </c>
      <c r="J46" s="7">
        <v>11675</v>
      </c>
      <c r="K46" s="9">
        <v>4</v>
      </c>
      <c r="L46" s="16">
        <v>0.8054</v>
      </c>
      <c r="M46" s="8">
        <v>47316</v>
      </c>
      <c r="N46" s="17">
        <v>932</v>
      </c>
      <c r="O46" s="16">
        <v>2.4171</v>
      </c>
      <c r="P46" s="8">
        <v>15596</v>
      </c>
      <c r="Q46" s="17">
        <v>3684</v>
      </c>
    </row>
    <row r="47" spans="2:17" x14ac:dyDescent="0.3">
      <c r="B47" s="22" t="s">
        <v>14</v>
      </c>
      <c r="C47" s="12">
        <v>6</v>
      </c>
      <c r="D47" s="40">
        <v>2</v>
      </c>
      <c r="E47" s="13">
        <v>3</v>
      </c>
      <c r="F47" s="12">
        <v>0</v>
      </c>
      <c r="G47" s="13">
        <v>0</v>
      </c>
      <c r="H47" s="12">
        <v>0</v>
      </c>
      <c r="I47" s="13">
        <v>0</v>
      </c>
      <c r="J47" s="12">
        <v>2</v>
      </c>
      <c r="K47" s="13">
        <v>3</v>
      </c>
      <c r="L47" s="41">
        <v>0.27950000000000003</v>
      </c>
      <c r="M47" s="40">
        <v>9</v>
      </c>
      <c r="N47" s="42">
        <v>0</v>
      </c>
      <c r="O47" s="41">
        <v>1.7040999999999999</v>
      </c>
      <c r="P47" s="43">
        <v>3</v>
      </c>
      <c r="Q47" s="42">
        <v>0</v>
      </c>
    </row>
    <row r="48" spans="2:17" x14ac:dyDescent="0.3">
      <c r="B48" s="29" t="s">
        <v>15</v>
      </c>
      <c r="C48" s="30">
        <v>8734</v>
      </c>
      <c r="D48" s="31">
        <v>3859</v>
      </c>
      <c r="E48" s="32">
        <v>3</v>
      </c>
      <c r="F48" s="30">
        <v>2</v>
      </c>
      <c r="G48" s="32">
        <v>465.80020000000002</v>
      </c>
      <c r="H48" s="30">
        <v>839</v>
      </c>
      <c r="I48" s="32">
        <v>6</v>
      </c>
      <c r="J48" s="30">
        <v>3020</v>
      </c>
      <c r="K48" s="32">
        <v>2</v>
      </c>
      <c r="L48" s="33">
        <v>0.89070000000000005</v>
      </c>
      <c r="M48" s="31">
        <v>21960</v>
      </c>
      <c r="N48" s="34">
        <v>623</v>
      </c>
      <c r="O48" s="33">
        <v>0.84809999999999997</v>
      </c>
      <c r="P48" s="31">
        <v>6379</v>
      </c>
      <c r="Q48" s="35">
        <v>328</v>
      </c>
    </row>
    <row r="50" spans="2:17" x14ac:dyDescent="0.3">
      <c r="B50" s="38" t="s">
        <v>30</v>
      </c>
    </row>
    <row r="51" spans="2:17" ht="43.2" x14ac:dyDescent="0.3">
      <c r="B51" s="2" t="s">
        <v>0</v>
      </c>
      <c r="C51" s="23" t="s">
        <v>1</v>
      </c>
      <c r="D51" s="23" t="s">
        <v>16</v>
      </c>
      <c r="E51" s="23" t="s">
        <v>17</v>
      </c>
      <c r="F51" s="24" t="s">
        <v>18</v>
      </c>
      <c r="G51" s="24" t="s">
        <v>2</v>
      </c>
      <c r="H51" s="26" t="s">
        <v>19</v>
      </c>
      <c r="I51" s="26" t="s">
        <v>3</v>
      </c>
      <c r="J51" s="27" t="s">
        <v>20</v>
      </c>
      <c r="K51" s="27" t="s">
        <v>4</v>
      </c>
      <c r="L51" s="25" t="s">
        <v>5</v>
      </c>
      <c r="M51" s="25" t="s">
        <v>6</v>
      </c>
      <c r="N51" s="25" t="s">
        <v>7</v>
      </c>
      <c r="O51" s="28" t="s">
        <v>8</v>
      </c>
      <c r="P51" s="28" t="s">
        <v>9</v>
      </c>
      <c r="Q51" s="28" t="s">
        <v>10</v>
      </c>
    </row>
    <row r="52" spans="2:17" x14ac:dyDescent="0.3">
      <c r="B52" s="21" t="s">
        <v>12</v>
      </c>
      <c r="C52" s="4">
        <v>13096</v>
      </c>
      <c r="D52" s="45">
        <v>6228</v>
      </c>
      <c r="E52" s="46">
        <v>6</v>
      </c>
      <c r="F52" s="47" t="s">
        <v>21</v>
      </c>
      <c r="G52" s="48" t="s">
        <v>21</v>
      </c>
      <c r="H52" s="49">
        <v>5935</v>
      </c>
      <c r="I52" s="46">
        <v>5.22</v>
      </c>
      <c r="J52" s="49">
        <v>293</v>
      </c>
      <c r="K52" s="46">
        <v>4.8699000000000003</v>
      </c>
      <c r="L52" s="14">
        <v>1.6485000000000001</v>
      </c>
      <c r="M52" s="5">
        <v>33142</v>
      </c>
      <c r="N52" s="15">
        <v>2893</v>
      </c>
      <c r="O52" s="18" t="s">
        <v>21</v>
      </c>
      <c r="P52" s="19" t="s">
        <v>21</v>
      </c>
      <c r="Q52" s="20" t="s">
        <v>21</v>
      </c>
    </row>
    <row r="53" spans="2:17" x14ac:dyDescent="0.3">
      <c r="B53" s="22" t="s">
        <v>13</v>
      </c>
      <c r="C53" s="7">
        <v>17264</v>
      </c>
      <c r="D53" s="50">
        <v>12689</v>
      </c>
      <c r="E53" s="51">
        <v>6</v>
      </c>
      <c r="F53" s="52">
        <v>0</v>
      </c>
      <c r="G53" s="51">
        <v>0</v>
      </c>
      <c r="H53" s="52">
        <v>984</v>
      </c>
      <c r="I53" s="51">
        <v>8.6999999999999993</v>
      </c>
      <c r="J53" s="52">
        <v>11705</v>
      </c>
      <c r="K53" s="51">
        <v>5.43</v>
      </c>
      <c r="L53" s="16">
        <v>0.87960000000000005</v>
      </c>
      <c r="M53" s="8">
        <v>45567</v>
      </c>
      <c r="N53" s="17">
        <v>1345</v>
      </c>
      <c r="O53" s="16">
        <v>2.2191000000000001</v>
      </c>
      <c r="P53" s="8">
        <v>14664</v>
      </c>
      <c r="Q53" s="17">
        <v>2744</v>
      </c>
    </row>
    <row r="54" spans="2:17" x14ac:dyDescent="0.3">
      <c r="B54" s="22" t="s">
        <v>14</v>
      </c>
      <c r="C54" s="12">
        <v>4</v>
      </c>
      <c r="D54" s="53">
        <v>6</v>
      </c>
      <c r="E54" s="54">
        <v>11</v>
      </c>
      <c r="F54" s="55">
        <v>0</v>
      </c>
      <c r="G54" s="54">
        <v>0</v>
      </c>
      <c r="H54" s="55">
        <v>1</v>
      </c>
      <c r="I54" s="54">
        <v>3.9668999999999999</v>
      </c>
      <c r="J54" s="55">
        <v>5</v>
      </c>
      <c r="K54" s="54">
        <v>12.2</v>
      </c>
      <c r="L54" s="41">
        <v>0.9022</v>
      </c>
      <c r="M54" s="40">
        <v>13</v>
      </c>
      <c r="N54" s="42">
        <v>0</v>
      </c>
      <c r="O54" s="41">
        <v>1.6019000000000001</v>
      </c>
      <c r="P54" s="43">
        <v>4</v>
      </c>
      <c r="Q54" s="42">
        <v>1</v>
      </c>
    </row>
    <row r="55" spans="2:17" x14ac:dyDescent="0.3">
      <c r="B55" s="29" t="s">
        <v>15</v>
      </c>
      <c r="C55" s="30">
        <v>8866</v>
      </c>
      <c r="D55" s="56">
        <v>3405</v>
      </c>
      <c r="E55" s="57">
        <v>4.6352000000000002</v>
      </c>
      <c r="F55" s="58">
        <v>0</v>
      </c>
      <c r="G55" s="57">
        <v>0</v>
      </c>
      <c r="H55" s="58">
        <v>857</v>
      </c>
      <c r="I55" s="57">
        <v>6.69</v>
      </c>
      <c r="J55" s="58">
        <v>2548</v>
      </c>
      <c r="K55" s="57">
        <v>3.2</v>
      </c>
      <c r="L55" s="33">
        <v>0.90949999999999998</v>
      </c>
      <c r="M55" s="31">
        <v>21571</v>
      </c>
      <c r="N55" s="34">
        <v>661</v>
      </c>
      <c r="O55" s="33">
        <v>0.70679999999999998</v>
      </c>
      <c r="P55" s="31">
        <v>5909</v>
      </c>
      <c r="Q55" s="35">
        <v>264</v>
      </c>
    </row>
    <row r="57" spans="2:17" x14ac:dyDescent="0.3">
      <c r="B57" s="38" t="s">
        <v>31</v>
      </c>
    </row>
    <row r="58" spans="2:17" ht="43.2" x14ac:dyDescent="0.3">
      <c r="B58" s="2" t="s">
        <v>0</v>
      </c>
      <c r="C58" s="23" t="s">
        <v>1</v>
      </c>
      <c r="D58" s="23" t="s">
        <v>16</v>
      </c>
      <c r="E58" s="23" t="s">
        <v>17</v>
      </c>
      <c r="F58" s="24" t="s">
        <v>18</v>
      </c>
      <c r="G58" s="24" t="s">
        <v>2</v>
      </c>
      <c r="H58" s="26" t="s">
        <v>19</v>
      </c>
      <c r="I58" s="26" t="s">
        <v>3</v>
      </c>
      <c r="J58" s="27" t="s">
        <v>20</v>
      </c>
      <c r="K58" s="27" t="s">
        <v>4</v>
      </c>
      <c r="L58" s="25" t="s">
        <v>5</v>
      </c>
      <c r="M58" s="25" t="s">
        <v>6</v>
      </c>
      <c r="N58" s="25" t="s">
        <v>7</v>
      </c>
      <c r="O58" s="28" t="s">
        <v>8</v>
      </c>
      <c r="P58" s="28" t="s">
        <v>9</v>
      </c>
      <c r="Q58" s="28" t="s">
        <v>10</v>
      </c>
    </row>
    <row r="59" spans="2:17" x14ac:dyDescent="0.3">
      <c r="B59" s="21" t="s">
        <v>12</v>
      </c>
      <c r="C59" s="4">
        <v>15121</v>
      </c>
      <c r="D59" s="45">
        <v>6076</v>
      </c>
      <c r="E59" s="46">
        <v>5</v>
      </c>
      <c r="F59" s="47" t="s">
        <v>21</v>
      </c>
      <c r="G59" s="48" t="s">
        <v>21</v>
      </c>
      <c r="H59" s="49">
        <v>5822</v>
      </c>
      <c r="I59" s="46">
        <v>4.84</v>
      </c>
      <c r="J59" s="49">
        <v>254</v>
      </c>
      <c r="K59" s="46">
        <v>7</v>
      </c>
      <c r="L59" s="14">
        <v>1.5858000000000001</v>
      </c>
      <c r="M59" s="5">
        <v>36361</v>
      </c>
      <c r="N59" s="15">
        <v>3280</v>
      </c>
      <c r="O59" s="18" t="s">
        <v>21</v>
      </c>
      <c r="P59" s="19" t="s">
        <v>21</v>
      </c>
      <c r="Q59" s="20" t="s">
        <v>21</v>
      </c>
    </row>
    <row r="60" spans="2:17" x14ac:dyDescent="0.3">
      <c r="B60" s="22" t="s">
        <v>13</v>
      </c>
      <c r="C60" s="7">
        <v>18244</v>
      </c>
      <c r="D60" s="50">
        <v>11671</v>
      </c>
      <c r="E60" s="51">
        <v>4</v>
      </c>
      <c r="F60" s="52">
        <v>0</v>
      </c>
      <c r="G60" s="51">
        <v>0</v>
      </c>
      <c r="H60" s="52">
        <v>1148</v>
      </c>
      <c r="I60" s="51">
        <v>5.76</v>
      </c>
      <c r="J60" s="52">
        <v>10523</v>
      </c>
      <c r="K60" s="51">
        <v>3.11</v>
      </c>
      <c r="L60" s="16">
        <v>0.84309999999999996</v>
      </c>
      <c r="M60" s="8">
        <v>47867</v>
      </c>
      <c r="N60" s="17">
        <v>1119</v>
      </c>
      <c r="O60" s="16">
        <v>1.7504</v>
      </c>
      <c r="P60" s="8">
        <v>15920</v>
      </c>
      <c r="Q60" s="17">
        <v>1758</v>
      </c>
    </row>
    <row r="61" spans="2:17" x14ac:dyDescent="0.3">
      <c r="B61" s="22" t="s">
        <v>14</v>
      </c>
      <c r="C61" s="12">
        <v>2</v>
      </c>
      <c r="D61" s="53">
        <v>2</v>
      </c>
      <c r="E61" s="54">
        <v>2</v>
      </c>
      <c r="F61" s="55">
        <v>0</v>
      </c>
      <c r="G61" s="54">
        <v>0</v>
      </c>
      <c r="H61" s="55">
        <v>0</v>
      </c>
      <c r="I61" s="54">
        <v>0</v>
      </c>
      <c r="J61" s="55">
        <v>2</v>
      </c>
      <c r="K61" s="54">
        <v>2</v>
      </c>
      <c r="L61" s="41">
        <v>0.99970000000000003</v>
      </c>
      <c r="M61" s="40">
        <v>6</v>
      </c>
      <c r="N61" s="42">
        <v>0</v>
      </c>
      <c r="O61" s="41">
        <v>0.74309999999999998</v>
      </c>
      <c r="P61" s="43">
        <v>2</v>
      </c>
      <c r="Q61" s="42">
        <v>0</v>
      </c>
    </row>
    <row r="62" spans="2:17" x14ac:dyDescent="0.3">
      <c r="B62" s="29" t="s">
        <v>15</v>
      </c>
      <c r="C62" s="30">
        <v>10927</v>
      </c>
      <c r="D62" s="56">
        <v>4055</v>
      </c>
      <c r="E62" s="57">
        <v>3</v>
      </c>
      <c r="F62" s="58">
        <v>1</v>
      </c>
      <c r="G62" s="57">
        <v>770.28920000000005</v>
      </c>
      <c r="H62" s="58">
        <v>1108</v>
      </c>
      <c r="I62" s="57">
        <v>4.6500000000000004</v>
      </c>
      <c r="J62" s="58">
        <v>2947</v>
      </c>
      <c r="K62" s="57">
        <v>2.1</v>
      </c>
      <c r="L62" s="33">
        <v>0.85880000000000001</v>
      </c>
      <c r="M62" s="31">
        <v>26828</v>
      </c>
      <c r="N62" s="34">
        <v>810</v>
      </c>
      <c r="O62" s="33">
        <v>0.6331</v>
      </c>
      <c r="P62" s="31">
        <v>7639</v>
      </c>
      <c r="Q62" s="35">
        <v>282</v>
      </c>
    </row>
    <row r="64" spans="2:17" x14ac:dyDescent="0.3">
      <c r="B64" s="38" t="s">
        <v>32</v>
      </c>
    </row>
    <row r="65" spans="2:17" ht="43.2" x14ac:dyDescent="0.3">
      <c r="B65" s="2" t="s">
        <v>0</v>
      </c>
      <c r="C65" s="23" t="s">
        <v>1</v>
      </c>
      <c r="D65" s="23" t="s">
        <v>16</v>
      </c>
      <c r="E65" s="23" t="s">
        <v>17</v>
      </c>
      <c r="F65" s="24" t="s">
        <v>18</v>
      </c>
      <c r="G65" s="24" t="s">
        <v>2</v>
      </c>
      <c r="H65" s="26" t="s">
        <v>19</v>
      </c>
      <c r="I65" s="26" t="s">
        <v>3</v>
      </c>
      <c r="J65" s="27" t="s">
        <v>20</v>
      </c>
      <c r="K65" s="27" t="s">
        <v>4</v>
      </c>
      <c r="L65" s="25" t="s">
        <v>5</v>
      </c>
      <c r="M65" s="25" t="s">
        <v>6</v>
      </c>
      <c r="N65" s="25" t="s">
        <v>7</v>
      </c>
      <c r="O65" s="28" t="s">
        <v>8</v>
      </c>
      <c r="P65" s="28" t="s">
        <v>9</v>
      </c>
      <c r="Q65" s="28" t="s">
        <v>10</v>
      </c>
    </row>
    <row r="66" spans="2:17" x14ac:dyDescent="0.3">
      <c r="B66" s="21" t="s">
        <v>12</v>
      </c>
      <c r="C66" s="4">
        <v>15129</v>
      </c>
      <c r="D66" s="45">
        <v>7550</v>
      </c>
      <c r="E66" s="46">
        <v>6</v>
      </c>
      <c r="F66" s="47" t="s">
        <v>21</v>
      </c>
      <c r="G66" s="48" t="s">
        <v>21</v>
      </c>
      <c r="H66" s="49">
        <v>7173</v>
      </c>
      <c r="I66" s="46">
        <v>5.28</v>
      </c>
      <c r="J66" s="49">
        <v>377</v>
      </c>
      <c r="K66" s="46">
        <v>1.077</v>
      </c>
      <c r="L66" s="14">
        <v>1.5193000000000001</v>
      </c>
      <c r="M66" s="5">
        <v>37465</v>
      </c>
      <c r="N66" s="15">
        <v>3047</v>
      </c>
      <c r="O66" s="18" t="s">
        <v>21</v>
      </c>
      <c r="P66" s="19" t="s">
        <v>21</v>
      </c>
      <c r="Q66" s="20" t="s">
        <v>21</v>
      </c>
    </row>
    <row r="67" spans="2:17" x14ac:dyDescent="0.3">
      <c r="B67" s="22" t="s">
        <v>13</v>
      </c>
      <c r="C67" s="7">
        <v>17382</v>
      </c>
      <c r="D67" s="50">
        <v>12159</v>
      </c>
      <c r="E67" s="51">
        <v>4</v>
      </c>
      <c r="F67" s="52">
        <v>0</v>
      </c>
      <c r="G67" s="51">
        <v>0</v>
      </c>
      <c r="H67" s="52">
        <v>1310</v>
      </c>
      <c r="I67" s="51">
        <v>6.28</v>
      </c>
      <c r="J67" s="52">
        <v>10849</v>
      </c>
      <c r="K67" s="51">
        <v>3.69</v>
      </c>
      <c r="L67" s="16">
        <v>0.77239999999999998</v>
      </c>
      <c r="M67" s="8">
        <v>45270</v>
      </c>
      <c r="N67" s="17">
        <v>812</v>
      </c>
      <c r="O67" s="16">
        <v>1.8542000000000001</v>
      </c>
      <c r="P67" s="8">
        <v>14690</v>
      </c>
      <c r="Q67" s="17">
        <v>2256</v>
      </c>
    </row>
    <row r="68" spans="2:17" x14ac:dyDescent="0.3">
      <c r="B68" s="22" t="s">
        <v>14</v>
      </c>
      <c r="C68" s="12">
        <v>4</v>
      </c>
      <c r="D68" s="53">
        <v>2</v>
      </c>
      <c r="E68" s="54">
        <v>1</v>
      </c>
      <c r="F68" s="55">
        <v>0</v>
      </c>
      <c r="G68" s="54">
        <v>0</v>
      </c>
      <c r="H68" s="55">
        <v>0</v>
      </c>
      <c r="I68" s="54">
        <v>0</v>
      </c>
      <c r="J68" s="55">
        <v>2</v>
      </c>
      <c r="K68" s="54">
        <v>1</v>
      </c>
      <c r="L68" s="41">
        <v>0.10050000000000001</v>
      </c>
      <c r="M68" s="40">
        <v>6</v>
      </c>
      <c r="N68" s="42">
        <v>0</v>
      </c>
      <c r="O68" s="41">
        <v>5.9799999999999999E-2</v>
      </c>
      <c r="P68" s="43">
        <v>3</v>
      </c>
      <c r="Q68" s="42">
        <v>0</v>
      </c>
    </row>
    <row r="69" spans="2:17" x14ac:dyDescent="0.3">
      <c r="B69" s="29" t="s">
        <v>15</v>
      </c>
      <c r="C69" s="30">
        <v>9432</v>
      </c>
      <c r="D69" s="56">
        <v>4162</v>
      </c>
      <c r="E69" s="57">
        <v>3</v>
      </c>
      <c r="F69" s="58">
        <v>0</v>
      </c>
      <c r="G69" s="57">
        <v>0</v>
      </c>
      <c r="H69" s="58">
        <v>1294</v>
      </c>
      <c r="I69" s="57">
        <v>5.2</v>
      </c>
      <c r="J69" s="58">
        <v>2868</v>
      </c>
      <c r="K69" s="57">
        <v>1.93</v>
      </c>
      <c r="L69" s="33">
        <v>0.82099999999999995</v>
      </c>
      <c r="M69" s="31">
        <v>23286</v>
      </c>
      <c r="N69" s="34">
        <v>668</v>
      </c>
      <c r="O69" s="33">
        <v>0.61799999999999999</v>
      </c>
      <c r="P69" s="31">
        <v>6542</v>
      </c>
      <c r="Q69" s="35">
        <v>235</v>
      </c>
    </row>
    <row r="71" spans="2:17" x14ac:dyDescent="0.3">
      <c r="B71" s="38" t="s">
        <v>33</v>
      </c>
    </row>
    <row r="72" spans="2:17" ht="43.2" x14ac:dyDescent="0.3">
      <c r="B72" s="2" t="s">
        <v>0</v>
      </c>
      <c r="C72" s="23" t="s">
        <v>1</v>
      </c>
      <c r="D72" s="23" t="s">
        <v>16</v>
      </c>
      <c r="E72" s="23" t="s">
        <v>17</v>
      </c>
      <c r="F72" s="24" t="s">
        <v>18</v>
      </c>
      <c r="G72" s="24" t="s">
        <v>2</v>
      </c>
      <c r="H72" s="26" t="s">
        <v>19</v>
      </c>
      <c r="I72" s="26" t="s">
        <v>3</v>
      </c>
      <c r="J72" s="27" t="s">
        <v>20</v>
      </c>
      <c r="K72" s="27" t="s">
        <v>4</v>
      </c>
      <c r="L72" s="25" t="s">
        <v>5</v>
      </c>
      <c r="M72" s="25" t="s">
        <v>6</v>
      </c>
      <c r="N72" s="25" t="s">
        <v>7</v>
      </c>
      <c r="O72" s="28" t="s">
        <v>8</v>
      </c>
      <c r="P72" s="28" t="s">
        <v>9</v>
      </c>
      <c r="Q72" s="28" t="s">
        <v>10</v>
      </c>
    </row>
    <row r="73" spans="2:17" x14ac:dyDescent="0.3">
      <c r="B73" s="21" t="s">
        <v>12</v>
      </c>
      <c r="C73" s="4">
        <v>11800</v>
      </c>
      <c r="D73" s="45">
        <v>6428</v>
      </c>
      <c r="E73" s="46">
        <v>6</v>
      </c>
      <c r="F73" s="10" t="s">
        <v>21</v>
      </c>
      <c r="G73" s="11" t="s">
        <v>21</v>
      </c>
      <c r="H73" s="4">
        <v>6054</v>
      </c>
      <c r="I73" s="46">
        <v>5.6120000000000001</v>
      </c>
      <c r="J73" s="49">
        <v>374</v>
      </c>
      <c r="K73" s="46">
        <v>0.83320000000000005</v>
      </c>
      <c r="L73" s="14">
        <v>1.5033000000000001</v>
      </c>
      <c r="M73" s="5">
        <v>29537</v>
      </c>
      <c r="N73" s="15">
        <v>2055</v>
      </c>
      <c r="O73" s="18" t="s">
        <v>21</v>
      </c>
      <c r="P73" s="19" t="s">
        <v>21</v>
      </c>
      <c r="Q73" s="20" t="s">
        <v>21</v>
      </c>
    </row>
    <row r="74" spans="2:17" x14ac:dyDescent="0.3">
      <c r="B74" s="22" t="s">
        <v>13</v>
      </c>
      <c r="C74" s="7">
        <v>16687</v>
      </c>
      <c r="D74" s="50">
        <v>11912</v>
      </c>
      <c r="E74" s="51">
        <v>4</v>
      </c>
      <c r="F74" s="7">
        <v>0</v>
      </c>
      <c r="G74" s="9">
        <v>0</v>
      </c>
      <c r="H74" s="7">
        <v>1127</v>
      </c>
      <c r="I74" s="51">
        <v>7</v>
      </c>
      <c r="J74" s="52">
        <v>10785</v>
      </c>
      <c r="K74" s="51">
        <v>3</v>
      </c>
      <c r="L74" s="16">
        <v>0.75880000000000003</v>
      </c>
      <c r="M74" s="8">
        <v>42076</v>
      </c>
      <c r="N74" s="17">
        <v>602</v>
      </c>
      <c r="O74" s="16">
        <v>1.6469</v>
      </c>
      <c r="P74" s="8">
        <v>14224</v>
      </c>
      <c r="Q74" s="17">
        <v>692</v>
      </c>
    </row>
    <row r="75" spans="2:17" x14ac:dyDescent="0.3">
      <c r="B75" s="22" t="s">
        <v>14</v>
      </c>
      <c r="C75" s="12">
        <v>9</v>
      </c>
      <c r="D75" s="53">
        <v>4</v>
      </c>
      <c r="E75" s="54">
        <v>2</v>
      </c>
      <c r="F75" s="12">
        <v>0</v>
      </c>
      <c r="G75" s="13">
        <v>0</v>
      </c>
      <c r="H75" s="12">
        <v>0</v>
      </c>
      <c r="I75" s="54">
        <v>0</v>
      </c>
      <c r="J75" s="55">
        <v>4</v>
      </c>
      <c r="K75" s="54">
        <v>1.75</v>
      </c>
      <c r="L75" s="41">
        <v>1.1169</v>
      </c>
      <c r="M75" s="40">
        <v>16</v>
      </c>
      <c r="N75" s="42">
        <v>3</v>
      </c>
      <c r="O75" s="41">
        <v>0.64870000000000005</v>
      </c>
      <c r="P75" s="43">
        <v>7</v>
      </c>
      <c r="Q75" s="42">
        <v>0</v>
      </c>
    </row>
    <row r="76" spans="2:17" x14ac:dyDescent="0.3">
      <c r="B76" s="29" t="s">
        <v>15</v>
      </c>
      <c r="C76" s="30">
        <v>8083</v>
      </c>
      <c r="D76" s="56">
        <v>3445</v>
      </c>
      <c r="E76" s="57">
        <v>3</v>
      </c>
      <c r="F76" s="30">
        <v>0</v>
      </c>
      <c r="G76" s="32">
        <v>0</v>
      </c>
      <c r="H76" s="30">
        <v>978</v>
      </c>
      <c r="I76" s="57">
        <v>4.87</v>
      </c>
      <c r="J76" s="58">
        <v>2467</v>
      </c>
      <c r="K76" s="57">
        <v>1.81</v>
      </c>
      <c r="L76" s="33">
        <v>0.80979999999999996</v>
      </c>
      <c r="M76" s="31">
        <v>19180</v>
      </c>
      <c r="N76" s="34">
        <v>482</v>
      </c>
      <c r="O76" s="33">
        <v>0.66539999999999999</v>
      </c>
      <c r="P76" s="31">
        <v>5257</v>
      </c>
      <c r="Q76" s="35">
        <v>217</v>
      </c>
    </row>
    <row r="78" spans="2:17" x14ac:dyDescent="0.3">
      <c r="B78" s="38" t="s">
        <v>34</v>
      </c>
    </row>
    <row r="79" spans="2:17" ht="43.2" x14ac:dyDescent="0.3">
      <c r="B79" s="2" t="s">
        <v>0</v>
      </c>
      <c r="C79" s="23" t="s">
        <v>1</v>
      </c>
      <c r="D79" s="23" t="s">
        <v>16</v>
      </c>
      <c r="E79" s="23" t="s">
        <v>17</v>
      </c>
      <c r="F79" s="24" t="s">
        <v>18</v>
      </c>
      <c r="G79" s="24" t="s">
        <v>2</v>
      </c>
      <c r="H79" s="26" t="s">
        <v>19</v>
      </c>
      <c r="I79" s="26" t="s">
        <v>3</v>
      </c>
      <c r="J79" s="27" t="s">
        <v>20</v>
      </c>
      <c r="K79" s="27" t="s">
        <v>4</v>
      </c>
      <c r="L79" s="25" t="s">
        <v>5</v>
      </c>
      <c r="M79" s="25" t="s">
        <v>6</v>
      </c>
      <c r="N79" s="25" t="s">
        <v>7</v>
      </c>
      <c r="O79" s="28" t="s">
        <v>8</v>
      </c>
      <c r="P79" s="28" t="s">
        <v>9</v>
      </c>
      <c r="Q79" s="28" t="s">
        <v>10</v>
      </c>
    </row>
    <row r="80" spans="2:17" x14ac:dyDescent="0.3">
      <c r="B80" s="21" t="s">
        <v>12</v>
      </c>
      <c r="C80" s="4">
        <v>12112</v>
      </c>
      <c r="D80" s="45">
        <v>6612</v>
      </c>
      <c r="E80" s="46">
        <v>4.8499999999999996</v>
      </c>
      <c r="F80" s="47" t="s">
        <v>21</v>
      </c>
      <c r="G80" s="48" t="s">
        <v>21</v>
      </c>
      <c r="H80" s="49">
        <v>6287</v>
      </c>
      <c r="I80" s="46">
        <v>4.9809999999999999</v>
      </c>
      <c r="J80" s="49">
        <v>325</v>
      </c>
      <c r="K80" s="46">
        <v>3</v>
      </c>
      <c r="L80" s="14">
        <v>1.5926</v>
      </c>
      <c r="M80" s="5">
        <v>31690</v>
      </c>
      <c r="N80" s="15">
        <v>2456</v>
      </c>
      <c r="O80" s="18" t="s">
        <v>21</v>
      </c>
      <c r="P80" s="19" t="s">
        <v>21</v>
      </c>
      <c r="Q80" s="20" t="s">
        <v>21</v>
      </c>
    </row>
    <row r="81" spans="2:17" x14ac:dyDescent="0.3">
      <c r="B81" s="22" t="s">
        <v>13</v>
      </c>
      <c r="C81" s="7">
        <v>18297</v>
      </c>
      <c r="D81" s="50">
        <v>12311</v>
      </c>
      <c r="E81" s="51">
        <v>4</v>
      </c>
      <c r="F81" s="52">
        <v>0</v>
      </c>
      <c r="G81" s="51">
        <v>0</v>
      </c>
      <c r="H81" s="52">
        <v>1085</v>
      </c>
      <c r="I81" s="51">
        <v>6</v>
      </c>
      <c r="J81" s="52">
        <v>11226</v>
      </c>
      <c r="K81" s="51">
        <v>3</v>
      </c>
      <c r="L81" s="16">
        <v>0.79400000000000004</v>
      </c>
      <c r="M81" s="8">
        <v>45124</v>
      </c>
      <c r="N81" s="17">
        <v>908</v>
      </c>
      <c r="O81" s="16">
        <v>1.6298999999999999</v>
      </c>
      <c r="P81" s="8">
        <v>15377</v>
      </c>
      <c r="Q81" s="17">
        <v>700</v>
      </c>
    </row>
    <row r="82" spans="2:17" x14ac:dyDescent="0.3">
      <c r="B82" s="22" t="s">
        <v>14</v>
      </c>
      <c r="C82" s="12">
        <v>8</v>
      </c>
      <c r="D82" s="53">
        <v>7</v>
      </c>
      <c r="E82" s="54">
        <v>2</v>
      </c>
      <c r="F82" s="55">
        <v>0</v>
      </c>
      <c r="G82" s="54">
        <v>0</v>
      </c>
      <c r="H82" s="55">
        <v>1</v>
      </c>
      <c r="I82" s="54">
        <v>0.93220000000000003</v>
      </c>
      <c r="J82" s="55">
        <v>6</v>
      </c>
      <c r="K82" s="54">
        <v>2</v>
      </c>
      <c r="L82" s="41">
        <v>0.63449999999999995</v>
      </c>
      <c r="M82" s="40">
        <v>23</v>
      </c>
      <c r="N82" s="42">
        <v>1</v>
      </c>
      <c r="O82" s="41">
        <v>0.30059999999999998</v>
      </c>
      <c r="P82" s="43">
        <v>8</v>
      </c>
      <c r="Q82" s="42">
        <v>0</v>
      </c>
    </row>
    <row r="83" spans="2:17" x14ac:dyDescent="0.3">
      <c r="B83" s="29" t="s">
        <v>15</v>
      </c>
      <c r="C83" s="30">
        <v>8452</v>
      </c>
      <c r="D83" s="56">
        <v>3364</v>
      </c>
      <c r="E83" s="57">
        <v>3</v>
      </c>
      <c r="F83" s="58">
        <v>0</v>
      </c>
      <c r="G83" s="57">
        <v>0</v>
      </c>
      <c r="H83" s="58">
        <v>1025</v>
      </c>
      <c r="I83" s="57">
        <v>4.57</v>
      </c>
      <c r="J83" s="58">
        <v>2339</v>
      </c>
      <c r="K83" s="57">
        <v>1.69</v>
      </c>
      <c r="L83" s="33">
        <v>0.80289999999999995</v>
      </c>
      <c r="M83" s="31">
        <v>19654</v>
      </c>
      <c r="N83" s="34">
        <v>425</v>
      </c>
      <c r="O83" s="33">
        <v>0.75649999999999995</v>
      </c>
      <c r="P83" s="31">
        <v>5093</v>
      </c>
      <c r="Q83" s="35">
        <v>258</v>
      </c>
    </row>
    <row r="85" spans="2:17" x14ac:dyDescent="0.3">
      <c r="B85" s="38" t="s">
        <v>35</v>
      </c>
    </row>
    <row r="86" spans="2:17" ht="43.2" x14ac:dyDescent="0.3">
      <c r="B86" s="2" t="s">
        <v>0</v>
      </c>
      <c r="C86" s="23" t="s">
        <v>1</v>
      </c>
      <c r="D86" s="23" t="s">
        <v>16</v>
      </c>
      <c r="E86" s="23" t="s">
        <v>17</v>
      </c>
      <c r="F86" s="24" t="s">
        <v>18</v>
      </c>
      <c r="G86" s="24" t="s">
        <v>2</v>
      </c>
      <c r="H86" s="26" t="s">
        <v>19</v>
      </c>
      <c r="I86" s="26" t="s">
        <v>3</v>
      </c>
      <c r="J86" s="27" t="s">
        <v>20</v>
      </c>
      <c r="K86" s="27" t="s">
        <v>4</v>
      </c>
      <c r="L86" s="25" t="s">
        <v>5</v>
      </c>
      <c r="M86" s="25" t="s">
        <v>6</v>
      </c>
      <c r="N86" s="25" t="s">
        <v>7</v>
      </c>
      <c r="O86" s="28" t="s">
        <v>8</v>
      </c>
      <c r="P86" s="28" t="s">
        <v>9</v>
      </c>
      <c r="Q86" s="28" t="s">
        <v>10</v>
      </c>
    </row>
    <row r="87" spans="2:17" x14ac:dyDescent="0.3">
      <c r="B87" s="21" t="s">
        <v>12</v>
      </c>
      <c r="C87" s="49">
        <v>12167</v>
      </c>
      <c r="D87" s="45">
        <v>6596</v>
      </c>
      <c r="E87" s="46">
        <v>5.61</v>
      </c>
      <c r="F87" s="47" t="s">
        <v>21</v>
      </c>
      <c r="G87" s="48" t="s">
        <v>21</v>
      </c>
      <c r="H87" s="49">
        <v>6022</v>
      </c>
      <c r="I87" s="46">
        <v>5.81</v>
      </c>
      <c r="J87" s="49">
        <v>574</v>
      </c>
      <c r="K87" s="46">
        <v>4</v>
      </c>
      <c r="L87" s="14">
        <v>1.4475</v>
      </c>
      <c r="M87" s="5">
        <v>28806</v>
      </c>
      <c r="N87" s="15">
        <v>1855</v>
      </c>
      <c r="O87" s="18" t="s">
        <v>21</v>
      </c>
      <c r="P87" s="19" t="s">
        <v>21</v>
      </c>
      <c r="Q87" s="20" t="s">
        <v>21</v>
      </c>
    </row>
    <row r="88" spans="2:17" x14ac:dyDescent="0.3">
      <c r="B88" s="22" t="s">
        <v>13</v>
      </c>
      <c r="C88" s="52">
        <v>15972</v>
      </c>
      <c r="D88" s="50">
        <v>11984</v>
      </c>
      <c r="E88" s="51">
        <v>4</v>
      </c>
      <c r="F88" s="52">
        <v>0</v>
      </c>
      <c r="G88" s="51">
        <v>0</v>
      </c>
      <c r="H88" s="52">
        <v>1169</v>
      </c>
      <c r="I88" s="51">
        <v>5.56</v>
      </c>
      <c r="J88" s="52">
        <v>10815</v>
      </c>
      <c r="K88" s="51">
        <v>2.85</v>
      </c>
      <c r="L88" s="16">
        <v>0.73829999999999996</v>
      </c>
      <c r="M88" s="8">
        <v>40816</v>
      </c>
      <c r="N88" s="17">
        <v>748</v>
      </c>
      <c r="O88" s="16">
        <v>1.7235</v>
      </c>
      <c r="P88" s="8">
        <v>13347</v>
      </c>
      <c r="Q88" s="17">
        <v>1078</v>
      </c>
    </row>
    <row r="89" spans="2:17" x14ac:dyDescent="0.3">
      <c r="B89" s="22" t="s">
        <v>14</v>
      </c>
      <c r="C89" s="55">
        <v>5</v>
      </c>
      <c r="D89" s="53">
        <v>4</v>
      </c>
      <c r="E89" s="54">
        <v>3</v>
      </c>
      <c r="F89" s="55">
        <v>0</v>
      </c>
      <c r="G89" s="54">
        <v>0</v>
      </c>
      <c r="H89" s="55">
        <v>0</v>
      </c>
      <c r="I89" s="54">
        <v>0</v>
      </c>
      <c r="J89" s="55">
        <v>4</v>
      </c>
      <c r="K89" s="54">
        <v>3</v>
      </c>
      <c r="L89" s="41">
        <v>0.36099999999999999</v>
      </c>
      <c r="M89" s="40">
        <v>12</v>
      </c>
      <c r="N89" s="42">
        <v>0</v>
      </c>
      <c r="O89" s="41">
        <v>1.2534000000000001</v>
      </c>
      <c r="P89" s="43">
        <v>4</v>
      </c>
      <c r="Q89" s="42">
        <v>0</v>
      </c>
    </row>
    <row r="90" spans="2:17" x14ac:dyDescent="0.3">
      <c r="B90" s="29" t="s">
        <v>15</v>
      </c>
      <c r="C90" s="58">
        <v>7497</v>
      </c>
      <c r="D90" s="56">
        <v>3195</v>
      </c>
      <c r="E90" s="57">
        <v>2.69</v>
      </c>
      <c r="F90" s="58">
        <v>0</v>
      </c>
      <c r="G90" s="57">
        <v>0</v>
      </c>
      <c r="H90" s="58">
        <v>863</v>
      </c>
      <c r="I90" s="57">
        <v>6</v>
      </c>
      <c r="J90" s="58">
        <v>2332</v>
      </c>
      <c r="K90" s="57">
        <v>2</v>
      </c>
      <c r="L90" s="33">
        <v>0.78500000000000003</v>
      </c>
      <c r="M90" s="31">
        <v>17894</v>
      </c>
      <c r="N90" s="34">
        <v>409</v>
      </c>
      <c r="O90" s="33">
        <v>0.60360000000000003</v>
      </c>
      <c r="P90" s="31">
        <v>4935</v>
      </c>
      <c r="Q90" s="35">
        <v>176</v>
      </c>
    </row>
  </sheetData>
  <pageMargins left="0.7" right="0.7" top="0.75" bottom="0.75" header="0.3" footer="0.3"/>
  <pageSetup paperSize="9" scale="37" orientation="landscape" r:id="rId1"/>
  <colBreaks count="1" manualBreakCount="1"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6:R90"/>
  <sheetViews>
    <sheetView showGridLines="0" topLeftCell="A12" workbookViewId="0">
      <selection activeCell="E31" sqref="E31"/>
    </sheetView>
  </sheetViews>
  <sheetFormatPr defaultRowHeight="14.4" x14ac:dyDescent="0.3"/>
  <cols>
    <col min="1" max="1" width="2.5546875" customWidth="1"/>
    <col min="2" max="2" width="27" bestFit="1" customWidth="1"/>
    <col min="3" max="3" width="8.21875" bestFit="1" customWidth="1"/>
    <col min="4" max="4" width="12" bestFit="1" customWidth="1"/>
    <col min="5" max="5" width="13.44140625" bestFit="1" customWidth="1"/>
    <col min="6" max="6" width="22" bestFit="1" customWidth="1"/>
    <col min="7" max="7" width="13.77734375" bestFit="1" customWidth="1"/>
    <col min="8" max="8" width="19.5546875" bestFit="1" customWidth="1"/>
    <col min="9" max="9" width="13.77734375" bestFit="1" customWidth="1"/>
    <col min="10" max="10" width="19.5546875" bestFit="1" customWidth="1"/>
    <col min="11" max="12" width="13.44140625" bestFit="1" customWidth="1"/>
    <col min="13" max="13" width="11" bestFit="1" customWidth="1"/>
    <col min="14" max="14" width="9.5546875" bestFit="1" customWidth="1"/>
    <col min="15" max="15" width="13.77734375" bestFit="1" customWidth="1"/>
    <col min="16" max="17" width="11.21875" bestFit="1" customWidth="1"/>
  </cols>
  <sheetData>
    <row r="6" spans="2:18" x14ac:dyDescent="0.3">
      <c r="B6" s="39" t="s">
        <v>38</v>
      </c>
    </row>
    <row r="7" spans="2:18" x14ac:dyDescent="0.3">
      <c r="B7" s="3"/>
    </row>
    <row r="8" spans="2:18" x14ac:dyDescent="0.3">
      <c r="B8" s="38" t="s">
        <v>24</v>
      </c>
    </row>
    <row r="9" spans="2:18" s="1" customFormat="1" ht="43.2" x14ac:dyDescent="0.3">
      <c r="B9" s="2" t="s">
        <v>0</v>
      </c>
      <c r="C9" s="23" t="s">
        <v>1</v>
      </c>
      <c r="D9" s="23" t="s">
        <v>16</v>
      </c>
      <c r="E9" s="23" t="s">
        <v>17</v>
      </c>
      <c r="F9" s="24" t="s">
        <v>18</v>
      </c>
      <c r="G9" s="24" t="s">
        <v>2</v>
      </c>
      <c r="H9" s="26" t="s">
        <v>19</v>
      </c>
      <c r="I9" s="26" t="s">
        <v>3</v>
      </c>
      <c r="J9" s="27" t="s">
        <v>20</v>
      </c>
      <c r="K9" s="27" t="s">
        <v>4</v>
      </c>
      <c r="L9" s="25" t="s">
        <v>5</v>
      </c>
      <c r="M9" s="25" t="s">
        <v>6</v>
      </c>
      <c r="N9" s="25" t="s">
        <v>7</v>
      </c>
      <c r="O9" s="28" t="s">
        <v>8</v>
      </c>
      <c r="P9" s="28" t="s">
        <v>9</v>
      </c>
      <c r="Q9" s="28" t="s">
        <v>10</v>
      </c>
    </row>
    <row r="10" spans="2:18" x14ac:dyDescent="0.3">
      <c r="B10" s="21" t="s">
        <v>12</v>
      </c>
      <c r="C10" s="4">
        <v>12483</v>
      </c>
      <c r="D10" s="45">
        <v>5691</v>
      </c>
      <c r="E10" s="46">
        <v>4.8610086100861007</v>
      </c>
      <c r="F10" s="47" t="s">
        <v>21</v>
      </c>
      <c r="G10" s="48" t="s">
        <v>21</v>
      </c>
      <c r="H10" s="49">
        <v>5518</v>
      </c>
      <c r="I10" s="46">
        <f>ROUNDUP(4.904494382,0)</f>
        <v>5</v>
      </c>
      <c r="J10" s="49">
        <v>173</v>
      </c>
      <c r="K10" s="46">
        <f>ROUNDUP(3.47,0)</f>
        <v>4</v>
      </c>
      <c r="L10" s="14">
        <v>1.5064</v>
      </c>
      <c r="M10" s="5">
        <v>31961</v>
      </c>
      <c r="N10" s="15">
        <v>2026</v>
      </c>
      <c r="O10" s="18" t="s">
        <v>21</v>
      </c>
      <c r="P10" s="19" t="s">
        <v>21</v>
      </c>
      <c r="Q10" s="20" t="s">
        <v>21</v>
      </c>
    </row>
    <row r="11" spans="2:18" x14ac:dyDescent="0.3">
      <c r="B11" s="22" t="s">
        <v>13</v>
      </c>
      <c r="C11" s="7">
        <v>18942</v>
      </c>
      <c r="D11" s="50">
        <v>14389</v>
      </c>
      <c r="E11" s="51">
        <f>ROUNDUP(3.39099311974425,0)</f>
        <v>4</v>
      </c>
      <c r="F11" s="52">
        <v>0</v>
      </c>
      <c r="G11" s="51">
        <v>0</v>
      </c>
      <c r="H11" s="52">
        <v>1125</v>
      </c>
      <c r="I11" s="51">
        <f>ROUNDUP(5.49333333333333,0)</f>
        <v>6</v>
      </c>
      <c r="J11" s="52">
        <v>13264</v>
      </c>
      <c r="K11" s="51">
        <f>ROUNDUP(3.21268094089264,0)</f>
        <v>4</v>
      </c>
      <c r="L11" s="16">
        <v>0.7782</v>
      </c>
      <c r="M11" s="8">
        <v>53086</v>
      </c>
      <c r="N11" s="17">
        <v>1059</v>
      </c>
      <c r="O11" s="16">
        <v>2.0476000000000001</v>
      </c>
      <c r="P11" s="8">
        <v>17135</v>
      </c>
      <c r="Q11" s="17">
        <v>2349</v>
      </c>
      <c r="R11" t="s">
        <v>11</v>
      </c>
    </row>
    <row r="12" spans="2:18" x14ac:dyDescent="0.3">
      <c r="B12" s="22" t="s">
        <v>14</v>
      </c>
      <c r="C12" s="7">
        <v>4</v>
      </c>
      <c r="D12" s="50">
        <v>4</v>
      </c>
      <c r="E12" s="51">
        <f>ROUNDUP(2.5,0)</f>
        <v>3</v>
      </c>
      <c r="F12" s="52">
        <v>0</v>
      </c>
      <c r="G12" s="51">
        <v>0</v>
      </c>
      <c r="H12" s="55">
        <v>0</v>
      </c>
      <c r="I12" s="54">
        <v>0</v>
      </c>
      <c r="J12" s="52">
        <v>4</v>
      </c>
      <c r="K12" s="51">
        <f>ROUNDUP(2.5,0)</f>
        <v>3</v>
      </c>
      <c r="L12" s="16">
        <v>0.23330000000000001</v>
      </c>
      <c r="M12" s="8">
        <v>12</v>
      </c>
      <c r="N12" s="17">
        <v>0</v>
      </c>
      <c r="O12" s="16">
        <v>2.6160999999999999</v>
      </c>
      <c r="P12" s="8">
        <v>4</v>
      </c>
      <c r="Q12" s="17">
        <v>0</v>
      </c>
      <c r="R12" t="s">
        <v>11</v>
      </c>
    </row>
    <row r="13" spans="2:18" x14ac:dyDescent="0.3">
      <c r="B13" s="29" t="s">
        <v>15</v>
      </c>
      <c r="C13" s="30">
        <v>8860</v>
      </c>
      <c r="D13" s="56">
        <v>3695</v>
      </c>
      <c r="E13" s="57">
        <f>ROUNDUP(2.86332882273342,0)</f>
        <v>3</v>
      </c>
      <c r="F13" s="58">
        <v>0</v>
      </c>
      <c r="G13" s="57">
        <v>0</v>
      </c>
      <c r="H13" s="58">
        <v>1056</v>
      </c>
      <c r="I13" s="57">
        <f>ROUNDUP(4.86363636363636,0)</f>
        <v>5</v>
      </c>
      <c r="J13" s="58">
        <v>2639</v>
      </c>
      <c r="K13" s="57">
        <f>ROUNDUP(2.06290261462675,0)</f>
        <v>3</v>
      </c>
      <c r="L13" s="33">
        <v>0.80110000000000003</v>
      </c>
      <c r="M13" s="31">
        <v>21345</v>
      </c>
      <c r="N13" s="34">
        <v>340</v>
      </c>
      <c r="O13" s="33">
        <v>0.70109999999999995</v>
      </c>
      <c r="P13" s="31">
        <v>5741</v>
      </c>
      <c r="Q13" s="35">
        <v>271</v>
      </c>
      <c r="R13" t="s">
        <v>11</v>
      </c>
    </row>
    <row r="15" spans="2:18" x14ac:dyDescent="0.3">
      <c r="B15" s="38" t="s">
        <v>25</v>
      </c>
    </row>
    <row r="16" spans="2:18" s="1" customFormat="1" ht="43.2" x14ac:dyDescent="0.3">
      <c r="B16" s="2" t="s">
        <v>0</v>
      </c>
      <c r="C16" s="23" t="s">
        <v>1</v>
      </c>
      <c r="D16" s="23" t="s">
        <v>16</v>
      </c>
      <c r="E16" s="23" t="s">
        <v>17</v>
      </c>
      <c r="F16" s="24" t="s">
        <v>18</v>
      </c>
      <c r="G16" s="24" t="s">
        <v>2</v>
      </c>
      <c r="H16" s="26" t="s">
        <v>19</v>
      </c>
      <c r="I16" s="26" t="s">
        <v>3</v>
      </c>
      <c r="J16" s="27" t="s">
        <v>20</v>
      </c>
      <c r="K16" s="27" t="s">
        <v>4</v>
      </c>
      <c r="L16" s="25" t="s">
        <v>5</v>
      </c>
      <c r="M16" s="25" t="s">
        <v>6</v>
      </c>
      <c r="N16" s="25" t="s">
        <v>7</v>
      </c>
      <c r="O16" s="28" t="s">
        <v>8</v>
      </c>
      <c r="P16" s="28" t="s">
        <v>9</v>
      </c>
      <c r="Q16" s="28" t="s">
        <v>10</v>
      </c>
    </row>
    <row r="17" spans="2:18" x14ac:dyDescent="0.3">
      <c r="B17" s="21" t="s">
        <v>12</v>
      </c>
      <c r="C17" s="59">
        <v>11782</v>
      </c>
      <c r="D17" s="68">
        <v>5679</v>
      </c>
      <c r="E17" s="69">
        <f>ROUNDUP(4.28,0)</f>
        <v>5</v>
      </c>
      <c r="F17" s="70" t="s">
        <v>21</v>
      </c>
      <c r="G17" s="71" t="s">
        <v>21</v>
      </c>
      <c r="H17" s="72">
        <v>5383</v>
      </c>
      <c r="I17" s="69">
        <f>ROUNDUP(4.42,0)</f>
        <v>5</v>
      </c>
      <c r="J17" s="72">
        <v>296</v>
      </c>
      <c r="K17" s="69">
        <f>ROUNDUP(1.6,0)</f>
        <v>2</v>
      </c>
      <c r="L17" s="59">
        <v>1.5321</v>
      </c>
      <c r="M17" s="60">
        <v>32217</v>
      </c>
      <c r="N17" s="63">
        <v>1424</v>
      </c>
      <c r="O17" s="61" t="s">
        <v>21</v>
      </c>
      <c r="P17" s="64" t="s">
        <v>21</v>
      </c>
      <c r="Q17" s="62" t="s">
        <v>21</v>
      </c>
    </row>
    <row r="18" spans="2:18" x14ac:dyDescent="0.3">
      <c r="B18" s="22" t="s">
        <v>13</v>
      </c>
      <c r="C18" s="65">
        <v>16182</v>
      </c>
      <c r="D18" s="73">
        <v>12097</v>
      </c>
      <c r="E18" s="74">
        <f>ROUNDUP(3.33,0)</f>
        <v>4</v>
      </c>
      <c r="F18" s="75">
        <v>0</v>
      </c>
      <c r="G18" s="74">
        <v>0</v>
      </c>
      <c r="H18" s="75">
        <v>1159</v>
      </c>
      <c r="I18" s="74">
        <f>ROUNDUP(6.1,0)</f>
        <v>7</v>
      </c>
      <c r="J18" s="75">
        <f>10938</f>
        <v>10938</v>
      </c>
      <c r="K18" s="74">
        <f>ROUNDUP(3.04,0)</f>
        <v>4</v>
      </c>
      <c r="L18" s="65">
        <v>0.76070000000000004</v>
      </c>
      <c r="M18" s="67">
        <v>45799</v>
      </c>
      <c r="N18" s="66">
        <v>588</v>
      </c>
      <c r="O18" s="65">
        <v>2.1177000000000001</v>
      </c>
      <c r="P18" s="67">
        <v>14728</v>
      </c>
      <c r="Q18" s="66">
        <v>3283</v>
      </c>
      <c r="R18" t="s">
        <v>11</v>
      </c>
    </row>
    <row r="19" spans="2:18" x14ac:dyDescent="0.3">
      <c r="B19" s="22" t="s">
        <v>14</v>
      </c>
      <c r="C19" s="65">
        <v>6</v>
      </c>
      <c r="D19" s="73">
        <v>4</v>
      </c>
      <c r="E19" s="74">
        <f>ROUNDUP(2.5,0)</f>
        <v>3</v>
      </c>
      <c r="F19" s="75">
        <v>0</v>
      </c>
      <c r="G19" s="74">
        <v>0</v>
      </c>
      <c r="H19" s="76">
        <v>0</v>
      </c>
      <c r="I19" s="77">
        <v>0</v>
      </c>
      <c r="J19" s="75">
        <v>4</v>
      </c>
      <c r="K19" s="74">
        <f>ROUNDUP(2.5,0)</f>
        <v>3</v>
      </c>
      <c r="L19" s="65">
        <v>0.2225</v>
      </c>
      <c r="M19" s="67">
        <v>15</v>
      </c>
      <c r="N19" s="66">
        <v>0</v>
      </c>
      <c r="O19" s="65">
        <v>2.1770999999999998</v>
      </c>
      <c r="P19" s="67">
        <v>5</v>
      </c>
      <c r="Q19" s="66">
        <v>1</v>
      </c>
      <c r="R19" t="s">
        <v>11</v>
      </c>
    </row>
    <row r="20" spans="2:18" x14ac:dyDescent="0.3">
      <c r="B20" s="29" t="s">
        <v>15</v>
      </c>
      <c r="C20" s="30">
        <v>7542</v>
      </c>
      <c r="D20" s="56">
        <v>2901</v>
      </c>
      <c r="E20" s="78">
        <f>ROUNDUP(2.93,0)</f>
        <v>3</v>
      </c>
      <c r="F20" s="58">
        <v>0</v>
      </c>
      <c r="G20" s="78">
        <v>0</v>
      </c>
      <c r="H20" s="58">
        <v>877</v>
      </c>
      <c r="I20" s="78">
        <f>ROUNDUP(5.43,0)</f>
        <v>6</v>
      </c>
      <c r="J20" s="58">
        <v>2024</v>
      </c>
      <c r="K20" s="78">
        <f>ROUNDUP(1.85,0)</f>
        <v>2</v>
      </c>
      <c r="L20" s="30">
        <v>0.83350000000000002</v>
      </c>
      <c r="M20" s="31">
        <v>18511</v>
      </c>
      <c r="N20" s="34">
        <v>138</v>
      </c>
      <c r="O20" s="30">
        <v>0.749</v>
      </c>
      <c r="P20" s="31">
        <v>5015</v>
      </c>
      <c r="Q20" s="34">
        <v>240</v>
      </c>
      <c r="R20" t="s">
        <v>11</v>
      </c>
    </row>
    <row r="22" spans="2:18" x14ac:dyDescent="0.3">
      <c r="B22" s="38" t="s">
        <v>26</v>
      </c>
    </row>
    <row r="23" spans="2:18" ht="43.2" x14ac:dyDescent="0.3">
      <c r="B23" s="2" t="s">
        <v>0</v>
      </c>
      <c r="C23" s="23" t="s">
        <v>1</v>
      </c>
      <c r="D23" s="23" t="s">
        <v>16</v>
      </c>
      <c r="E23" s="23" t="s">
        <v>17</v>
      </c>
      <c r="F23" s="24" t="s">
        <v>18</v>
      </c>
      <c r="G23" s="24" t="s">
        <v>2</v>
      </c>
      <c r="H23" s="26" t="s">
        <v>19</v>
      </c>
      <c r="I23" s="26" t="s">
        <v>3</v>
      </c>
      <c r="J23" s="27" t="s">
        <v>20</v>
      </c>
      <c r="K23" s="27" t="s">
        <v>4</v>
      </c>
      <c r="L23" s="25" t="s">
        <v>5</v>
      </c>
      <c r="M23" s="25" t="s">
        <v>6</v>
      </c>
      <c r="N23" s="25" t="s">
        <v>7</v>
      </c>
      <c r="O23" s="28" t="s">
        <v>8</v>
      </c>
      <c r="P23" s="28" t="s">
        <v>9</v>
      </c>
      <c r="Q23" s="28" t="s">
        <v>10</v>
      </c>
    </row>
    <row r="24" spans="2:18" x14ac:dyDescent="0.3">
      <c r="B24" s="21" t="s">
        <v>12</v>
      </c>
      <c r="C24" s="59">
        <v>13808</v>
      </c>
      <c r="D24" s="68">
        <v>7419</v>
      </c>
      <c r="E24" s="69">
        <f>ROUNDUP(4.13,0)</f>
        <v>5</v>
      </c>
      <c r="F24" s="70" t="s">
        <v>21</v>
      </c>
      <c r="G24" s="71" t="s">
        <v>21</v>
      </c>
      <c r="H24" s="72">
        <v>7103</v>
      </c>
      <c r="I24" s="69">
        <f>ROUNDUP(4.24,0)</f>
        <v>5</v>
      </c>
      <c r="J24" s="72">
        <v>316</v>
      </c>
      <c r="K24" s="69">
        <f>ROUNDUP(1.48,0)</f>
        <v>2</v>
      </c>
      <c r="L24" s="59">
        <v>1.4028</v>
      </c>
      <c r="M24" s="60">
        <v>40186</v>
      </c>
      <c r="N24" s="63">
        <v>1618</v>
      </c>
      <c r="O24" s="61" t="s">
        <v>21</v>
      </c>
      <c r="P24" s="64" t="s">
        <v>21</v>
      </c>
      <c r="Q24" s="62" t="s">
        <v>21</v>
      </c>
    </row>
    <row r="25" spans="2:18" x14ac:dyDescent="0.3">
      <c r="B25" s="22" t="s">
        <v>13</v>
      </c>
      <c r="C25" s="65">
        <v>22725</v>
      </c>
      <c r="D25" s="73">
        <v>17323</v>
      </c>
      <c r="E25" s="74">
        <f>ROUNDUP(3.19,0)</f>
        <v>4</v>
      </c>
      <c r="F25" s="75">
        <v>0</v>
      </c>
      <c r="G25" s="74">
        <v>0</v>
      </c>
      <c r="H25" s="75">
        <v>1485</v>
      </c>
      <c r="I25" s="74">
        <f>ROUNDUP(5.68,0)</f>
        <v>6</v>
      </c>
      <c r="J25" s="75">
        <v>15838</v>
      </c>
      <c r="K25" s="74">
        <f>ROUNDUP(2.96,0)</f>
        <v>3</v>
      </c>
      <c r="L25" s="65">
        <v>0.70109999999999995</v>
      </c>
      <c r="M25" s="67">
        <v>62225</v>
      </c>
      <c r="N25" s="66">
        <v>560</v>
      </c>
      <c r="O25" s="65">
        <v>2.0649999999999999</v>
      </c>
      <c r="P25" s="67">
        <v>20217</v>
      </c>
      <c r="Q25" s="66">
        <v>3515</v>
      </c>
    </row>
    <row r="26" spans="2:18" x14ac:dyDescent="0.3">
      <c r="B26" s="22" t="s">
        <v>14</v>
      </c>
      <c r="C26" s="65">
        <v>5</v>
      </c>
      <c r="D26" s="73">
        <v>6</v>
      </c>
      <c r="E26" s="74">
        <f>ROUNDUP(0.83,0)</f>
        <v>1</v>
      </c>
      <c r="F26" s="75">
        <v>0</v>
      </c>
      <c r="G26" s="74">
        <v>0</v>
      </c>
      <c r="H26" s="76">
        <v>0</v>
      </c>
      <c r="I26" s="77">
        <v>0</v>
      </c>
      <c r="J26" s="75">
        <v>6</v>
      </c>
      <c r="K26" s="74">
        <v>0.83</v>
      </c>
      <c r="L26" s="65">
        <v>7.7100000000000002E-2</v>
      </c>
      <c r="M26" s="67">
        <v>15</v>
      </c>
      <c r="N26" s="66">
        <v>0</v>
      </c>
      <c r="O26" s="65">
        <v>1E-4</v>
      </c>
      <c r="P26" s="67">
        <v>5</v>
      </c>
      <c r="Q26" s="66">
        <v>0</v>
      </c>
    </row>
    <row r="27" spans="2:18" x14ac:dyDescent="0.3">
      <c r="B27" s="29" t="s">
        <v>15</v>
      </c>
      <c r="C27" s="30">
        <v>9370</v>
      </c>
      <c r="D27" s="56">
        <v>3267</v>
      </c>
      <c r="E27" s="57">
        <f>ROUNDUP(2.76,0)</f>
        <v>3</v>
      </c>
      <c r="F27" s="58">
        <v>0</v>
      </c>
      <c r="G27" s="57">
        <v>0</v>
      </c>
      <c r="H27" s="58">
        <v>1172</v>
      </c>
      <c r="I27" s="57">
        <f>4.7</f>
        <v>4.7</v>
      </c>
      <c r="J27" s="58">
        <v>2095</v>
      </c>
      <c r="K27" s="57">
        <f>1.67</f>
        <v>1.67</v>
      </c>
      <c r="L27" s="33">
        <v>0.75509999999999999</v>
      </c>
      <c r="M27" s="31">
        <v>21487</v>
      </c>
      <c r="N27" s="34">
        <v>127</v>
      </c>
      <c r="O27" s="33">
        <v>0.6895</v>
      </c>
      <c r="P27" s="31">
        <v>5538</v>
      </c>
      <c r="Q27" s="35">
        <v>241</v>
      </c>
    </row>
    <row r="29" spans="2:18" x14ac:dyDescent="0.3">
      <c r="B29" s="38" t="s">
        <v>27</v>
      </c>
    </row>
    <row r="30" spans="2:18" ht="43.2" x14ac:dyDescent="0.3">
      <c r="B30" s="2" t="s">
        <v>0</v>
      </c>
      <c r="C30" s="23" t="s">
        <v>1</v>
      </c>
      <c r="D30" s="23" t="s">
        <v>16</v>
      </c>
      <c r="E30" s="23" t="s">
        <v>17</v>
      </c>
      <c r="F30" s="24" t="s">
        <v>18</v>
      </c>
      <c r="G30" s="24" t="s">
        <v>2</v>
      </c>
      <c r="H30" s="26" t="s">
        <v>19</v>
      </c>
      <c r="I30" s="26" t="s">
        <v>3</v>
      </c>
      <c r="J30" s="27" t="s">
        <v>20</v>
      </c>
      <c r="K30" s="27" t="s">
        <v>4</v>
      </c>
      <c r="L30" s="25" t="s">
        <v>5</v>
      </c>
      <c r="M30" s="25" t="s">
        <v>6</v>
      </c>
      <c r="N30" s="25" t="s">
        <v>7</v>
      </c>
      <c r="O30" s="28" t="s">
        <v>8</v>
      </c>
      <c r="P30" s="28" t="s">
        <v>9</v>
      </c>
      <c r="Q30" s="28" t="s">
        <v>10</v>
      </c>
    </row>
    <row r="31" spans="2:18" x14ac:dyDescent="0.3">
      <c r="B31" s="21" t="s">
        <v>12</v>
      </c>
      <c r="C31" s="59">
        <v>11206</v>
      </c>
      <c r="D31" s="68">
        <v>5891</v>
      </c>
      <c r="E31" s="79">
        <f>ROUNDUP(4.28,0)</f>
        <v>5</v>
      </c>
      <c r="F31" s="70" t="s">
        <v>21</v>
      </c>
      <c r="G31" s="71" t="s">
        <v>21</v>
      </c>
      <c r="H31" s="72">
        <v>5391</v>
      </c>
      <c r="I31" s="69">
        <f>ROUNDUP(4.54,0)</f>
        <v>5</v>
      </c>
      <c r="J31" s="72">
        <v>500</v>
      </c>
      <c r="K31" s="69">
        <f>ROUNDUP(1.48,0)</f>
        <v>2</v>
      </c>
      <c r="L31" s="59">
        <v>1.5458000000000001</v>
      </c>
      <c r="M31" s="60">
        <v>32072</v>
      </c>
      <c r="N31" s="63">
        <v>883</v>
      </c>
      <c r="O31" s="61" t="s">
        <v>21</v>
      </c>
      <c r="P31" s="64" t="s">
        <v>21</v>
      </c>
      <c r="Q31" s="62" t="s">
        <v>21</v>
      </c>
    </row>
    <row r="32" spans="2:18" x14ac:dyDescent="0.3">
      <c r="B32" s="22" t="s">
        <v>13</v>
      </c>
      <c r="C32" s="65">
        <v>15113</v>
      </c>
      <c r="D32" s="73">
        <v>11970</v>
      </c>
      <c r="E32" s="74">
        <f>ROUNDUP(2.75,0)</f>
        <v>3</v>
      </c>
      <c r="F32" s="75">
        <v>0</v>
      </c>
      <c r="G32" s="74">
        <v>0</v>
      </c>
      <c r="H32" s="75">
        <v>1022</v>
      </c>
      <c r="I32" s="74">
        <f>ROUNDUP(4.89,0)</f>
        <v>5</v>
      </c>
      <c r="J32" s="75">
        <v>10948</v>
      </c>
      <c r="K32" s="74">
        <f>ROUNDUP(2.55,0)</f>
        <v>3</v>
      </c>
      <c r="L32" s="65">
        <v>0.77310000000000001</v>
      </c>
      <c r="M32" s="67">
        <v>40318</v>
      </c>
      <c r="N32" s="66">
        <v>328</v>
      </c>
      <c r="O32" s="65">
        <v>1.5689</v>
      </c>
      <c r="P32" s="67">
        <v>13148</v>
      </c>
      <c r="Q32" s="66">
        <v>554</v>
      </c>
    </row>
    <row r="33" spans="2:17" x14ac:dyDescent="0.3">
      <c r="B33" s="22" t="s">
        <v>14</v>
      </c>
      <c r="C33" s="65">
        <v>3</v>
      </c>
      <c r="D33" s="73">
        <v>3</v>
      </c>
      <c r="E33" s="74">
        <v>2.6234000000000002</v>
      </c>
      <c r="F33" s="75">
        <v>0</v>
      </c>
      <c r="G33" s="74">
        <v>0</v>
      </c>
      <c r="H33" s="76">
        <v>0</v>
      </c>
      <c r="I33" s="77">
        <v>0</v>
      </c>
      <c r="J33" s="75">
        <v>3</v>
      </c>
      <c r="K33" s="74">
        <f>ROUNDUP(2.33,0)</f>
        <v>3</v>
      </c>
      <c r="L33" s="65">
        <v>0.25700000000000001</v>
      </c>
      <c r="M33" s="67">
        <v>9</v>
      </c>
      <c r="N33" s="66">
        <v>0</v>
      </c>
      <c r="O33" s="65">
        <v>0.92849999999999999</v>
      </c>
      <c r="P33" s="67">
        <v>3</v>
      </c>
      <c r="Q33" s="66">
        <v>0</v>
      </c>
    </row>
    <row r="34" spans="2:17" x14ac:dyDescent="0.3">
      <c r="B34" s="29" t="s">
        <v>15</v>
      </c>
      <c r="C34" s="30">
        <v>6682</v>
      </c>
      <c r="D34" s="56">
        <v>2304</v>
      </c>
      <c r="E34" s="57">
        <f>ROUNDUP(2.72,0)</f>
        <v>3</v>
      </c>
      <c r="F34" s="58">
        <v>0</v>
      </c>
      <c r="G34" s="57">
        <v>0</v>
      </c>
      <c r="H34" s="58">
        <v>822</v>
      </c>
      <c r="I34" s="57">
        <f>ROUNDUP(4.58,0)</f>
        <v>5</v>
      </c>
      <c r="J34" s="58">
        <v>1482</v>
      </c>
      <c r="K34" s="57">
        <f>ROUNDUP(1.68,0)</f>
        <v>2</v>
      </c>
      <c r="L34" s="33">
        <v>0.8216</v>
      </c>
      <c r="M34" s="31">
        <v>14940</v>
      </c>
      <c r="N34" s="34">
        <v>75</v>
      </c>
      <c r="O34" s="33">
        <v>0.72809999999999997</v>
      </c>
      <c r="P34" s="31">
        <v>3801</v>
      </c>
      <c r="Q34" s="35">
        <v>167</v>
      </c>
    </row>
    <row r="36" spans="2:17" x14ac:dyDescent="0.3">
      <c r="B36" s="38" t="s">
        <v>28</v>
      </c>
    </row>
    <row r="37" spans="2:17" ht="43.2" x14ac:dyDescent="0.3">
      <c r="B37" s="2" t="s">
        <v>0</v>
      </c>
      <c r="C37" s="23" t="s">
        <v>1</v>
      </c>
      <c r="D37" s="23" t="s">
        <v>16</v>
      </c>
      <c r="E37" s="23" t="s">
        <v>17</v>
      </c>
      <c r="F37" s="24" t="s">
        <v>18</v>
      </c>
      <c r="G37" s="24" t="s">
        <v>2</v>
      </c>
      <c r="H37" s="26" t="s">
        <v>19</v>
      </c>
      <c r="I37" s="26" t="s">
        <v>3</v>
      </c>
      <c r="J37" s="27" t="s">
        <v>20</v>
      </c>
      <c r="K37" s="27" t="s">
        <v>4</v>
      </c>
      <c r="L37" s="25" t="s">
        <v>5</v>
      </c>
      <c r="M37" s="25" t="s">
        <v>6</v>
      </c>
      <c r="N37" s="25" t="s">
        <v>7</v>
      </c>
      <c r="O37" s="28" t="s">
        <v>8</v>
      </c>
      <c r="P37" s="28" t="s">
        <v>9</v>
      </c>
      <c r="Q37" s="28" t="s">
        <v>10</v>
      </c>
    </row>
    <row r="38" spans="2:17" x14ac:dyDescent="0.3">
      <c r="B38" s="21" t="s">
        <v>12</v>
      </c>
      <c r="C38" s="59">
        <v>12707</v>
      </c>
      <c r="D38" s="68">
        <v>7223</v>
      </c>
      <c r="E38" s="69">
        <f>ROUNDUP(4.15,0)</f>
        <v>5</v>
      </c>
      <c r="F38" s="70" t="s">
        <v>21</v>
      </c>
      <c r="G38" s="71" t="s">
        <v>21</v>
      </c>
      <c r="H38" s="72">
        <v>6413</v>
      </c>
      <c r="I38" s="69">
        <f>ROUNDUP(4.2,0)</f>
        <v>5</v>
      </c>
      <c r="J38" s="72">
        <v>810</v>
      </c>
      <c r="K38" s="69">
        <f>ROUNDUP(3.73,0)</f>
        <v>4</v>
      </c>
      <c r="L38" s="59">
        <v>1.3606</v>
      </c>
      <c r="M38" s="60">
        <v>38145</v>
      </c>
      <c r="N38" s="63">
        <v>1283</v>
      </c>
      <c r="O38" s="61" t="s">
        <v>21</v>
      </c>
      <c r="P38" s="64" t="s">
        <v>21</v>
      </c>
      <c r="Q38" s="62" t="s">
        <v>21</v>
      </c>
    </row>
    <row r="39" spans="2:17" x14ac:dyDescent="0.3">
      <c r="B39" s="22" t="s">
        <v>13</v>
      </c>
      <c r="C39" s="65">
        <v>17055</v>
      </c>
      <c r="D39" s="73">
        <v>11810</v>
      </c>
      <c r="E39" s="74">
        <f>ROUNDUP(2.94,0)</f>
        <v>3</v>
      </c>
      <c r="F39" s="75">
        <v>0</v>
      </c>
      <c r="G39" s="74">
        <v>0</v>
      </c>
      <c r="H39" s="75">
        <v>1332</v>
      </c>
      <c r="I39" s="74">
        <f>ROUNDUP(4.96,0)</f>
        <v>5</v>
      </c>
      <c r="J39" s="75">
        <v>10478</v>
      </c>
      <c r="K39" s="74">
        <f>ROUNDUP(2.68,0)</f>
        <v>3</v>
      </c>
      <c r="L39" s="65">
        <v>0.75870000000000004</v>
      </c>
      <c r="M39" s="67">
        <v>48785</v>
      </c>
      <c r="N39" s="66">
        <v>534</v>
      </c>
      <c r="O39" s="65">
        <v>1.5005999999999999</v>
      </c>
      <c r="P39" s="67">
        <v>15547</v>
      </c>
      <c r="Q39" s="66">
        <v>1119</v>
      </c>
    </row>
    <row r="40" spans="2:17" x14ac:dyDescent="0.3">
      <c r="B40" s="22" t="s">
        <v>14</v>
      </c>
      <c r="C40" s="65">
        <v>5</v>
      </c>
      <c r="D40" s="73">
        <v>5</v>
      </c>
      <c r="E40" s="74">
        <f>ROUNDUP(2.4,0)</f>
        <v>3</v>
      </c>
      <c r="F40" s="75">
        <v>0</v>
      </c>
      <c r="G40" s="74">
        <v>0</v>
      </c>
      <c r="H40" s="76">
        <v>0</v>
      </c>
      <c r="I40" s="77">
        <v>0</v>
      </c>
      <c r="J40" s="75">
        <v>5</v>
      </c>
      <c r="K40" s="74">
        <f>ROUNDUP(2.4,0)</f>
        <v>3</v>
      </c>
      <c r="L40" s="65">
        <v>0.29770000000000002</v>
      </c>
      <c r="M40" s="67">
        <v>15</v>
      </c>
      <c r="N40" s="66">
        <v>0</v>
      </c>
      <c r="O40" s="65">
        <v>1.8127</v>
      </c>
      <c r="P40" s="67">
        <v>5</v>
      </c>
      <c r="Q40" s="66">
        <v>0</v>
      </c>
    </row>
    <row r="41" spans="2:17" x14ac:dyDescent="0.3">
      <c r="B41" s="29" t="s">
        <v>15</v>
      </c>
      <c r="C41" s="30">
        <v>7341</v>
      </c>
      <c r="D41" s="56">
        <v>2494</v>
      </c>
      <c r="E41" s="78">
        <f>ROUNDUP(3.03,0)</f>
        <v>4</v>
      </c>
      <c r="F41" s="58">
        <v>0</v>
      </c>
      <c r="G41" s="78">
        <v>0</v>
      </c>
      <c r="H41" s="58">
        <v>1048</v>
      </c>
      <c r="I41" s="78">
        <f>ROUNDUP(4.58,0)</f>
        <v>5</v>
      </c>
      <c r="J41" s="58">
        <v>1446</v>
      </c>
      <c r="K41" s="78">
        <f>ROUNDUP(1.9,0)</f>
        <v>2</v>
      </c>
      <c r="L41" s="30">
        <v>0.81120000000000003</v>
      </c>
      <c r="M41" s="31">
        <v>17129</v>
      </c>
      <c r="N41" s="34">
        <v>206</v>
      </c>
      <c r="O41" s="30">
        <v>0.68430000000000002</v>
      </c>
      <c r="P41" s="31">
        <v>4197</v>
      </c>
      <c r="Q41" s="34">
        <v>221</v>
      </c>
    </row>
    <row r="43" spans="2:17" x14ac:dyDescent="0.3">
      <c r="B43" s="38" t="s">
        <v>29</v>
      </c>
    </row>
    <row r="44" spans="2:17" ht="43.2" x14ac:dyDescent="0.3">
      <c r="B44" s="2" t="s">
        <v>0</v>
      </c>
      <c r="C44" s="23" t="s">
        <v>1</v>
      </c>
      <c r="D44" s="23" t="s">
        <v>16</v>
      </c>
      <c r="E44" s="23" t="s">
        <v>17</v>
      </c>
      <c r="F44" s="24" t="s">
        <v>18</v>
      </c>
      <c r="G44" s="24" t="s">
        <v>2</v>
      </c>
      <c r="H44" s="26" t="s">
        <v>19</v>
      </c>
      <c r="I44" s="26" t="s">
        <v>3</v>
      </c>
      <c r="J44" s="27" t="s">
        <v>20</v>
      </c>
      <c r="K44" s="27" t="s">
        <v>4</v>
      </c>
      <c r="L44" s="25" t="s">
        <v>5</v>
      </c>
      <c r="M44" s="25" t="s">
        <v>6</v>
      </c>
      <c r="N44" s="25" t="s">
        <v>7</v>
      </c>
      <c r="O44" s="28" t="s">
        <v>8</v>
      </c>
      <c r="P44" s="28" t="s">
        <v>9</v>
      </c>
      <c r="Q44" s="28" t="s">
        <v>10</v>
      </c>
    </row>
    <row r="45" spans="2:17" x14ac:dyDescent="0.3">
      <c r="B45" s="21" t="s">
        <v>12</v>
      </c>
      <c r="C45" s="59">
        <v>11691</v>
      </c>
      <c r="D45" s="68">
        <v>6625</v>
      </c>
      <c r="E45" s="79">
        <f>ROUNDUP(4.04,0)</f>
        <v>5</v>
      </c>
      <c r="F45" s="70" t="s">
        <v>21</v>
      </c>
      <c r="G45" s="71" t="s">
        <v>21</v>
      </c>
      <c r="H45" s="72">
        <v>6026</v>
      </c>
      <c r="I45" s="69">
        <f>ROUNDUP(4.3,0)</f>
        <v>5</v>
      </c>
      <c r="J45" s="72">
        <v>599</v>
      </c>
      <c r="K45" s="69">
        <f>ROUNDUP(1.43,0)</f>
        <v>2</v>
      </c>
      <c r="L45" s="59">
        <v>1.3573999999999999</v>
      </c>
      <c r="M45" s="60">
        <v>34774</v>
      </c>
      <c r="N45" s="63">
        <v>775</v>
      </c>
      <c r="O45" s="61" t="s">
        <v>21</v>
      </c>
      <c r="P45" s="64" t="s">
        <v>21</v>
      </c>
      <c r="Q45" s="62" t="s">
        <v>21</v>
      </c>
    </row>
    <row r="46" spans="2:17" x14ac:dyDescent="0.3">
      <c r="B46" s="22" t="s">
        <v>13</v>
      </c>
      <c r="C46" s="65">
        <v>13242</v>
      </c>
      <c r="D46" s="73">
        <v>11532</v>
      </c>
      <c r="E46" s="74">
        <f>ROUNDUP(2.73,0)</f>
        <v>3</v>
      </c>
      <c r="F46" s="75">
        <v>0</v>
      </c>
      <c r="G46" s="74">
        <v>0</v>
      </c>
      <c r="H46" s="75">
        <v>1185</v>
      </c>
      <c r="I46" s="74">
        <f>ROUNDUP(4.92,0)</f>
        <v>5</v>
      </c>
      <c r="J46" s="75">
        <v>10347</v>
      </c>
      <c r="K46" s="74">
        <f>ROUNDUP(2.48,0)</f>
        <v>3</v>
      </c>
      <c r="L46" s="65">
        <v>0.70689999999999997</v>
      </c>
      <c r="M46" s="67">
        <v>36763</v>
      </c>
      <c r="N46" s="66">
        <v>262</v>
      </c>
      <c r="O46" s="65">
        <v>1.3948</v>
      </c>
      <c r="P46" s="67">
        <v>11730</v>
      </c>
      <c r="Q46" s="66">
        <v>88</v>
      </c>
    </row>
    <row r="47" spans="2:17" x14ac:dyDescent="0.3">
      <c r="B47" s="22" t="s">
        <v>14</v>
      </c>
      <c r="C47" s="65">
        <v>4</v>
      </c>
      <c r="D47" s="73">
        <v>3</v>
      </c>
      <c r="E47" s="74">
        <f>ROUNDUP(4.67,0)</f>
        <v>5</v>
      </c>
      <c r="F47" s="75">
        <v>0</v>
      </c>
      <c r="G47" s="74">
        <v>0</v>
      </c>
      <c r="H47" s="76">
        <v>0</v>
      </c>
      <c r="I47" s="77">
        <v>0</v>
      </c>
      <c r="J47" s="75">
        <v>3</v>
      </c>
      <c r="K47" s="74">
        <f>ROUNDUP(4.67,0)</f>
        <v>5</v>
      </c>
      <c r="L47" s="65">
        <v>1.3513999999999999</v>
      </c>
      <c r="M47" s="67">
        <v>11</v>
      </c>
      <c r="N47" s="66">
        <v>1</v>
      </c>
      <c r="O47" s="65">
        <v>1.5121</v>
      </c>
      <c r="P47" s="67">
        <v>4</v>
      </c>
      <c r="Q47" s="66">
        <v>0</v>
      </c>
    </row>
    <row r="48" spans="2:17" x14ac:dyDescent="0.3">
      <c r="B48" s="29" t="s">
        <v>15</v>
      </c>
      <c r="C48" s="30">
        <v>6544</v>
      </c>
      <c r="D48" s="56">
        <v>2000</v>
      </c>
      <c r="E48" s="78">
        <f>ROUNDUP(2.86,0)</f>
        <v>3</v>
      </c>
      <c r="F48" s="58">
        <v>0</v>
      </c>
      <c r="G48" s="78">
        <v>0</v>
      </c>
      <c r="H48" s="58">
        <v>851</v>
      </c>
      <c r="I48" s="78">
        <f>ROUNDUP(4.45,0)</f>
        <v>5</v>
      </c>
      <c r="J48" s="58">
        <v>1149</v>
      </c>
      <c r="K48" s="78">
        <f>ROUNDUP(1.69,0)</f>
        <v>2</v>
      </c>
      <c r="L48" s="30">
        <v>0.75180000000000002</v>
      </c>
      <c r="M48" s="31">
        <v>14105</v>
      </c>
      <c r="N48" s="34">
        <v>63</v>
      </c>
      <c r="O48" s="30">
        <v>0.70820000000000005</v>
      </c>
      <c r="P48" s="31">
        <v>3281</v>
      </c>
      <c r="Q48" s="34">
        <v>154</v>
      </c>
    </row>
    <row r="50" spans="2:17" x14ac:dyDescent="0.3">
      <c r="B50" s="80" t="s">
        <v>30</v>
      </c>
    </row>
    <row r="51" spans="2:17" ht="43.2" x14ac:dyDescent="0.3">
      <c r="B51" s="81" t="s">
        <v>0</v>
      </c>
      <c r="C51" s="23" t="s">
        <v>1</v>
      </c>
      <c r="D51" s="23" t="s">
        <v>16</v>
      </c>
      <c r="E51" s="23" t="s">
        <v>17</v>
      </c>
      <c r="F51" s="24" t="s">
        <v>18</v>
      </c>
      <c r="G51" s="24" t="s">
        <v>2</v>
      </c>
      <c r="H51" s="26" t="s">
        <v>19</v>
      </c>
      <c r="I51" s="26" t="s">
        <v>3</v>
      </c>
      <c r="J51" s="27" t="s">
        <v>20</v>
      </c>
      <c r="K51" s="27" t="s">
        <v>4</v>
      </c>
      <c r="L51" s="25" t="s">
        <v>5</v>
      </c>
      <c r="M51" s="25" t="s">
        <v>6</v>
      </c>
      <c r="N51" s="25" t="s">
        <v>7</v>
      </c>
      <c r="O51" s="28" t="s">
        <v>8</v>
      </c>
      <c r="P51" s="28" t="s">
        <v>9</v>
      </c>
      <c r="Q51" s="28" t="s">
        <v>10</v>
      </c>
    </row>
    <row r="52" spans="2:17" x14ac:dyDescent="0.3">
      <c r="B52" s="82" t="s">
        <v>12</v>
      </c>
      <c r="C52" s="59">
        <v>12295</v>
      </c>
      <c r="D52" s="68">
        <v>7243</v>
      </c>
      <c r="E52" s="79">
        <f>ROUNDUP(4.66,0)</f>
        <v>5</v>
      </c>
      <c r="F52" s="70" t="s">
        <v>21</v>
      </c>
      <c r="G52" s="71" t="s">
        <v>21</v>
      </c>
      <c r="H52" s="72">
        <v>6505</v>
      </c>
      <c r="I52" s="69">
        <f>ROUNDUP(4.98,0)</f>
        <v>5</v>
      </c>
      <c r="J52" s="72">
        <v>738</v>
      </c>
      <c r="K52" s="69">
        <f>ROUNDUP(1.88,0)</f>
        <v>2</v>
      </c>
      <c r="L52" s="59">
        <v>1.3512</v>
      </c>
      <c r="M52" s="60">
        <v>37510</v>
      </c>
      <c r="N52" s="63">
        <v>1010</v>
      </c>
      <c r="O52" s="61" t="s">
        <v>21</v>
      </c>
      <c r="P52" s="64" t="s">
        <v>21</v>
      </c>
      <c r="Q52" s="62" t="s">
        <v>21</v>
      </c>
    </row>
    <row r="53" spans="2:17" x14ac:dyDescent="0.3">
      <c r="B53" s="83" t="s">
        <v>13</v>
      </c>
      <c r="C53" s="65">
        <v>13286</v>
      </c>
      <c r="D53" s="73">
        <v>10030</v>
      </c>
      <c r="E53" s="74">
        <f>ROUNDUP(2.8,0)</f>
        <v>3</v>
      </c>
      <c r="F53" s="75">
        <v>0</v>
      </c>
      <c r="G53" s="74">
        <v>0</v>
      </c>
      <c r="H53" s="75">
        <v>1085</v>
      </c>
      <c r="I53" s="74">
        <f>ROUNDUP(4.87,0)</f>
        <v>5</v>
      </c>
      <c r="J53" s="75">
        <v>8945</v>
      </c>
      <c r="K53" s="74">
        <f>ROUNDUP(2.55,0)</f>
        <v>3</v>
      </c>
      <c r="L53" s="65">
        <v>0.81910000000000005</v>
      </c>
      <c r="M53" s="67">
        <v>38247</v>
      </c>
      <c r="N53" s="66">
        <v>410</v>
      </c>
      <c r="O53" s="65">
        <v>1.3928</v>
      </c>
      <c r="P53" s="67">
        <v>12033</v>
      </c>
      <c r="Q53" s="66">
        <v>409</v>
      </c>
    </row>
    <row r="54" spans="2:17" x14ac:dyDescent="0.3">
      <c r="B54" s="83" t="s">
        <v>14</v>
      </c>
      <c r="C54" s="65">
        <v>6</v>
      </c>
      <c r="D54" s="73">
        <v>6</v>
      </c>
      <c r="E54" s="74">
        <f>ROUNDUP(1.67,0)</f>
        <v>2</v>
      </c>
      <c r="F54" s="75">
        <v>0</v>
      </c>
      <c r="G54" s="74">
        <v>0</v>
      </c>
      <c r="H54" s="76">
        <v>0</v>
      </c>
      <c r="I54" s="77">
        <v>0</v>
      </c>
      <c r="J54" s="75">
        <v>6</v>
      </c>
      <c r="K54" s="74">
        <f>ROUNDUP(1.67,0)</f>
        <v>2</v>
      </c>
      <c r="L54" s="65">
        <v>0.2006</v>
      </c>
      <c r="M54" s="67">
        <v>15</v>
      </c>
      <c r="N54" s="66">
        <v>0</v>
      </c>
      <c r="O54" s="65">
        <v>0.94059999999999999</v>
      </c>
      <c r="P54" s="67">
        <v>5</v>
      </c>
      <c r="Q54" s="66">
        <v>0</v>
      </c>
    </row>
    <row r="55" spans="2:17" x14ac:dyDescent="0.3">
      <c r="B55" s="84" t="s">
        <v>15</v>
      </c>
      <c r="C55" s="30">
        <v>6429</v>
      </c>
      <c r="D55" s="56">
        <v>1962</v>
      </c>
      <c r="E55" s="78">
        <f>ROUNDUP(3.35,0)</f>
        <v>4</v>
      </c>
      <c r="F55" s="58">
        <v>0</v>
      </c>
      <c r="G55" s="78">
        <v>0</v>
      </c>
      <c r="H55" s="58">
        <v>886</v>
      </c>
      <c r="I55" s="78">
        <f>ROUNDUP(4.95,0)</f>
        <v>5</v>
      </c>
      <c r="J55" s="58">
        <v>1076</v>
      </c>
      <c r="K55" s="78">
        <f>ROUNDUP(2.04,0)</f>
        <v>3</v>
      </c>
      <c r="L55" s="30">
        <v>0.84089999999999998</v>
      </c>
      <c r="M55" s="31">
        <v>14312</v>
      </c>
      <c r="N55" s="34">
        <v>124</v>
      </c>
      <c r="O55" s="30">
        <v>0.80100000000000005</v>
      </c>
      <c r="P55" s="31">
        <v>3232</v>
      </c>
      <c r="Q55" s="34">
        <v>205</v>
      </c>
    </row>
    <row r="57" spans="2:17" x14ac:dyDescent="0.3">
      <c r="B57" s="38" t="s">
        <v>31</v>
      </c>
    </row>
    <row r="58" spans="2:17" ht="43.2" x14ac:dyDescent="0.3">
      <c r="B58" s="2" t="s">
        <v>0</v>
      </c>
      <c r="C58" s="23" t="s">
        <v>1</v>
      </c>
      <c r="D58" s="23" t="s">
        <v>16</v>
      </c>
      <c r="E58" s="23" t="s">
        <v>17</v>
      </c>
      <c r="F58" s="24" t="s">
        <v>18</v>
      </c>
      <c r="G58" s="24" t="s">
        <v>2</v>
      </c>
      <c r="H58" s="26" t="s">
        <v>19</v>
      </c>
      <c r="I58" s="26" t="s">
        <v>3</v>
      </c>
      <c r="J58" s="27" t="s">
        <v>20</v>
      </c>
      <c r="K58" s="27" t="s">
        <v>4</v>
      </c>
      <c r="L58" s="25" t="s">
        <v>5</v>
      </c>
      <c r="M58" s="25" t="s">
        <v>6</v>
      </c>
      <c r="N58" s="25" t="s">
        <v>7</v>
      </c>
      <c r="O58" s="28" t="s">
        <v>8</v>
      </c>
      <c r="P58" s="28" t="s">
        <v>9</v>
      </c>
      <c r="Q58" s="28" t="s">
        <v>10</v>
      </c>
    </row>
    <row r="59" spans="2:17" s="86" customFormat="1" x14ac:dyDescent="0.3">
      <c r="B59" s="82" t="s">
        <v>12</v>
      </c>
      <c r="C59" s="72">
        <v>14011</v>
      </c>
      <c r="D59" s="68">
        <v>6513</v>
      </c>
      <c r="E59" s="69">
        <f>ROUNDUP(3.86,0)</f>
        <v>4</v>
      </c>
      <c r="F59" s="70" t="s">
        <v>21</v>
      </c>
      <c r="G59" s="71" t="s">
        <v>21</v>
      </c>
      <c r="H59" s="72">
        <v>6148</v>
      </c>
      <c r="I59" s="69">
        <f>ROUNDUP(4,0)</f>
        <v>4</v>
      </c>
      <c r="J59" s="72">
        <v>365</v>
      </c>
      <c r="K59" s="69">
        <f>ROUNDUP(1.55,0)</f>
        <v>2</v>
      </c>
      <c r="L59" s="72">
        <v>1.4218999999999999</v>
      </c>
      <c r="M59" s="68">
        <v>39998</v>
      </c>
      <c r="N59" s="69">
        <v>1477</v>
      </c>
      <c r="O59" s="70" t="s">
        <v>21</v>
      </c>
      <c r="P59" s="85" t="s">
        <v>21</v>
      </c>
      <c r="Q59" s="71" t="s">
        <v>21</v>
      </c>
    </row>
    <row r="60" spans="2:17" s="86" customFormat="1" x14ac:dyDescent="0.3">
      <c r="B60" s="83" t="s">
        <v>13</v>
      </c>
      <c r="C60" s="75">
        <v>13562</v>
      </c>
      <c r="D60" s="73">
        <v>8710</v>
      </c>
      <c r="E60" s="74">
        <f>ROUNDUP(3.12,0)</f>
        <v>4</v>
      </c>
      <c r="F60" s="75">
        <v>0</v>
      </c>
      <c r="G60" s="74">
        <v>0</v>
      </c>
      <c r="H60" s="75">
        <v>983</v>
      </c>
      <c r="I60" s="74">
        <f>ROUNDUP(5.43,0)</f>
        <v>6</v>
      </c>
      <c r="J60" s="75">
        <v>7727</v>
      </c>
      <c r="K60" s="74">
        <f>ROUNDUP(2.82,0)</f>
        <v>3</v>
      </c>
      <c r="L60" s="75">
        <v>0.82079999999999997</v>
      </c>
      <c r="M60" s="73">
        <v>38283</v>
      </c>
      <c r="N60" s="74">
        <v>1563</v>
      </c>
      <c r="O60" s="75">
        <v>3.1078000000000001</v>
      </c>
      <c r="P60" s="73">
        <v>12103</v>
      </c>
      <c r="Q60" s="74">
        <v>1975</v>
      </c>
    </row>
    <row r="61" spans="2:17" s="86" customFormat="1" x14ac:dyDescent="0.3">
      <c r="B61" s="83" t="s">
        <v>14</v>
      </c>
      <c r="C61" s="75">
        <v>2</v>
      </c>
      <c r="D61" s="73">
        <v>2</v>
      </c>
      <c r="E61" s="74">
        <f>ROUNDUP(1.5,0)</f>
        <v>2</v>
      </c>
      <c r="F61" s="75">
        <v>0</v>
      </c>
      <c r="G61" s="74">
        <v>0</v>
      </c>
      <c r="H61" s="76">
        <v>0</v>
      </c>
      <c r="I61" s="77">
        <v>0</v>
      </c>
      <c r="J61" s="75">
        <v>2</v>
      </c>
      <c r="K61" s="74">
        <f>ROUNDUP(1.5,0)</f>
        <v>2</v>
      </c>
      <c r="L61" s="75">
        <v>0.1434</v>
      </c>
      <c r="M61" s="73">
        <v>6</v>
      </c>
      <c r="N61" s="74">
        <v>0</v>
      </c>
      <c r="O61" s="75">
        <v>0.30080000000000001</v>
      </c>
      <c r="P61" s="73">
        <v>2</v>
      </c>
      <c r="Q61" s="74">
        <v>0</v>
      </c>
    </row>
    <row r="62" spans="2:17" s="86" customFormat="1" x14ac:dyDescent="0.3">
      <c r="B62" s="84" t="s">
        <v>15</v>
      </c>
      <c r="C62" s="58">
        <v>7797</v>
      </c>
      <c r="D62" s="56">
        <v>1979</v>
      </c>
      <c r="E62" s="78">
        <f>ROUNDUP(3.06,0)</f>
        <v>4</v>
      </c>
      <c r="F62" s="58">
        <v>0</v>
      </c>
      <c r="G62" s="78">
        <v>0</v>
      </c>
      <c r="H62" s="58">
        <v>866</v>
      </c>
      <c r="I62" s="78">
        <f>ROUNDUP(4.69,0)</f>
        <v>5</v>
      </c>
      <c r="J62" s="58">
        <v>1113</v>
      </c>
      <c r="K62" s="78">
        <f>ROUNDUP(1.79,0)</f>
        <v>2</v>
      </c>
      <c r="L62" s="58">
        <v>0.83279999999999998</v>
      </c>
      <c r="M62" s="56">
        <v>16762</v>
      </c>
      <c r="N62" s="78">
        <v>182</v>
      </c>
      <c r="O62" s="58">
        <v>0.81210000000000004</v>
      </c>
      <c r="P62" s="56">
        <v>3798</v>
      </c>
      <c r="Q62" s="78">
        <v>183</v>
      </c>
    </row>
    <row r="64" spans="2:17" x14ac:dyDescent="0.3">
      <c r="B64" s="38" t="s">
        <v>32</v>
      </c>
    </row>
    <row r="65" spans="2:17" ht="43.2" x14ac:dyDescent="0.3">
      <c r="B65" s="2" t="s">
        <v>0</v>
      </c>
      <c r="C65" s="23" t="s">
        <v>1</v>
      </c>
      <c r="D65" s="23" t="s">
        <v>16</v>
      </c>
      <c r="E65" s="23" t="s">
        <v>17</v>
      </c>
      <c r="F65" s="24" t="s">
        <v>18</v>
      </c>
      <c r="G65" s="24" t="s">
        <v>2</v>
      </c>
      <c r="H65" s="26" t="s">
        <v>19</v>
      </c>
      <c r="I65" s="26" t="s">
        <v>3</v>
      </c>
      <c r="J65" s="27" t="s">
        <v>20</v>
      </c>
      <c r="K65" s="27" t="s">
        <v>4</v>
      </c>
      <c r="L65" s="25" t="s">
        <v>5</v>
      </c>
      <c r="M65" s="25" t="s">
        <v>6</v>
      </c>
      <c r="N65" s="25" t="s">
        <v>7</v>
      </c>
      <c r="O65" s="28" t="s">
        <v>8</v>
      </c>
      <c r="P65" s="28" t="s">
        <v>9</v>
      </c>
      <c r="Q65" s="28" t="s">
        <v>10</v>
      </c>
    </row>
    <row r="66" spans="2:17" s="86" customFormat="1" x14ac:dyDescent="0.3">
      <c r="B66" s="82" t="s">
        <v>12</v>
      </c>
      <c r="C66" s="72">
        <v>16787</v>
      </c>
      <c r="D66" s="68">
        <v>7547</v>
      </c>
      <c r="E66" s="79">
        <f>ROUNDUP(4.36,0)</f>
        <v>5</v>
      </c>
      <c r="F66" s="70" t="s">
        <v>21</v>
      </c>
      <c r="G66" s="71" t="s">
        <v>21</v>
      </c>
      <c r="H66" s="72">
        <v>6868</v>
      </c>
      <c r="I66" s="69">
        <f>ROUNDUP(4.57,0)</f>
        <v>5</v>
      </c>
      <c r="J66" s="72">
        <v>679</v>
      </c>
      <c r="K66" s="69">
        <f>ROUNDUP(2.15,0)</f>
        <v>3</v>
      </c>
      <c r="L66" s="72">
        <v>1.2942</v>
      </c>
      <c r="M66" s="68">
        <v>44640</v>
      </c>
      <c r="N66" s="69">
        <v>1094</v>
      </c>
      <c r="O66" s="70" t="s">
        <v>21</v>
      </c>
      <c r="P66" s="85" t="s">
        <v>21</v>
      </c>
      <c r="Q66" s="71" t="s">
        <v>21</v>
      </c>
    </row>
    <row r="67" spans="2:17" s="86" customFormat="1" x14ac:dyDescent="0.3">
      <c r="B67" s="83" t="s">
        <v>13</v>
      </c>
      <c r="C67" s="75">
        <v>12521</v>
      </c>
      <c r="D67" s="73">
        <v>9919</v>
      </c>
      <c r="E67" s="74">
        <f>ROUNDUP(4.36,0)</f>
        <v>5</v>
      </c>
      <c r="F67" s="75">
        <v>0</v>
      </c>
      <c r="G67" s="74">
        <v>0</v>
      </c>
      <c r="H67" s="75">
        <v>1424</v>
      </c>
      <c r="I67" s="74">
        <f>ROUNDUP(7.46,0)</f>
        <v>8</v>
      </c>
      <c r="J67" s="75">
        <v>8495</v>
      </c>
      <c r="K67" s="74">
        <f>ROUNDUP(3.84,0)</f>
        <v>4</v>
      </c>
      <c r="L67" s="75">
        <v>0.76890000000000003</v>
      </c>
      <c r="M67" s="73">
        <v>33943</v>
      </c>
      <c r="N67" s="74">
        <v>380</v>
      </c>
      <c r="O67" s="75">
        <v>2.0817999999999999</v>
      </c>
      <c r="P67" s="73">
        <v>10849</v>
      </c>
      <c r="Q67" s="74">
        <v>796</v>
      </c>
    </row>
    <row r="68" spans="2:17" s="86" customFormat="1" x14ac:dyDescent="0.3">
      <c r="B68" s="83" t="s">
        <v>14</v>
      </c>
      <c r="C68" s="75">
        <v>3</v>
      </c>
      <c r="D68" s="73">
        <v>3</v>
      </c>
      <c r="E68" s="74">
        <f>ROUNDUP(2,0)</f>
        <v>2</v>
      </c>
      <c r="F68" s="75">
        <v>0</v>
      </c>
      <c r="G68" s="74">
        <v>0</v>
      </c>
      <c r="H68" s="76">
        <v>0</v>
      </c>
      <c r="I68" s="77">
        <v>0</v>
      </c>
      <c r="J68" s="75">
        <v>3</v>
      </c>
      <c r="K68" s="74">
        <v>2</v>
      </c>
      <c r="L68" s="75">
        <v>0.25590000000000002</v>
      </c>
      <c r="M68" s="73">
        <v>9</v>
      </c>
      <c r="N68" s="74">
        <v>0</v>
      </c>
      <c r="O68" s="75">
        <v>1.5686</v>
      </c>
      <c r="P68" s="73">
        <v>3</v>
      </c>
      <c r="Q68" s="74">
        <v>0</v>
      </c>
    </row>
    <row r="69" spans="2:17" s="86" customFormat="1" x14ac:dyDescent="0.3">
      <c r="B69" s="84" t="s">
        <v>15</v>
      </c>
      <c r="C69" s="58">
        <v>5654</v>
      </c>
      <c r="D69" s="56">
        <v>1872</v>
      </c>
      <c r="E69" s="78">
        <f>ROUNDUP(3.66,0)</f>
        <v>4</v>
      </c>
      <c r="F69" s="58">
        <v>0</v>
      </c>
      <c r="G69" s="78">
        <v>0</v>
      </c>
      <c r="H69" s="58">
        <v>917</v>
      </c>
      <c r="I69" s="78">
        <f>ROUNDUP(5.34,0)</f>
        <v>6</v>
      </c>
      <c r="J69" s="58">
        <v>955</v>
      </c>
      <c r="K69" s="78">
        <f>ROUNDUP(2.05,0)</f>
        <v>3</v>
      </c>
      <c r="L69" s="58">
        <v>0.85640000000000005</v>
      </c>
      <c r="M69" s="56">
        <v>13128</v>
      </c>
      <c r="N69" s="78">
        <v>114</v>
      </c>
      <c r="O69" s="58">
        <v>0.6774</v>
      </c>
      <c r="P69" s="56">
        <v>3171</v>
      </c>
      <c r="Q69" s="78">
        <v>147</v>
      </c>
    </row>
    <row r="71" spans="2:17" x14ac:dyDescent="0.3">
      <c r="B71" s="38" t="s">
        <v>37</v>
      </c>
    </row>
    <row r="72" spans="2:17" ht="43.2" x14ac:dyDescent="0.3">
      <c r="B72" s="2" t="s">
        <v>0</v>
      </c>
      <c r="C72" s="23" t="s">
        <v>1</v>
      </c>
      <c r="D72" s="23" t="s">
        <v>16</v>
      </c>
      <c r="E72" s="23" t="s">
        <v>17</v>
      </c>
      <c r="F72" s="24" t="s">
        <v>18</v>
      </c>
      <c r="G72" s="24" t="s">
        <v>2</v>
      </c>
      <c r="H72" s="26" t="s">
        <v>19</v>
      </c>
      <c r="I72" s="26" t="s">
        <v>3</v>
      </c>
      <c r="J72" s="27" t="s">
        <v>20</v>
      </c>
      <c r="K72" s="27" t="s">
        <v>4</v>
      </c>
      <c r="L72" s="25" t="s">
        <v>5</v>
      </c>
      <c r="M72" s="25" t="s">
        <v>6</v>
      </c>
      <c r="N72" s="25" t="s">
        <v>7</v>
      </c>
      <c r="O72" s="28" t="s">
        <v>8</v>
      </c>
      <c r="P72" s="28" t="s">
        <v>9</v>
      </c>
      <c r="Q72" s="28" t="s">
        <v>10</v>
      </c>
    </row>
    <row r="73" spans="2:17" x14ac:dyDescent="0.3">
      <c r="B73" s="21" t="s">
        <v>12</v>
      </c>
      <c r="C73" s="59">
        <v>15706</v>
      </c>
      <c r="D73" s="68">
        <v>7019</v>
      </c>
      <c r="E73" s="69">
        <f>ROUNDUP(5.08,0)</f>
        <v>6</v>
      </c>
      <c r="F73" s="70" t="s">
        <v>21</v>
      </c>
      <c r="G73" s="71" t="s">
        <v>21</v>
      </c>
      <c r="H73" s="72">
        <v>6448</v>
      </c>
      <c r="I73" s="69">
        <f>ROUNDUP(5.39,0)</f>
        <v>6</v>
      </c>
      <c r="J73" s="72">
        <v>571</v>
      </c>
      <c r="K73" s="69">
        <f>ROUNDUP(1.63,0)</f>
        <v>2</v>
      </c>
      <c r="L73" s="59">
        <v>1.4164000000000001</v>
      </c>
      <c r="M73" s="60">
        <v>41050</v>
      </c>
      <c r="N73" s="63">
        <v>1104</v>
      </c>
      <c r="O73" s="61" t="s">
        <v>21</v>
      </c>
      <c r="P73" s="64" t="s">
        <v>21</v>
      </c>
      <c r="Q73" s="62" t="s">
        <v>21</v>
      </c>
    </row>
    <row r="74" spans="2:17" x14ac:dyDescent="0.3">
      <c r="B74" s="22" t="s">
        <v>13</v>
      </c>
      <c r="C74" s="65">
        <v>13756</v>
      </c>
      <c r="D74" s="73">
        <v>10201</v>
      </c>
      <c r="E74" s="74">
        <f>ROUNDUP(3.43,0)</f>
        <v>4</v>
      </c>
      <c r="F74" s="75">
        <v>0</v>
      </c>
      <c r="G74" s="74">
        <v>0</v>
      </c>
      <c r="H74" s="75">
        <v>1393</v>
      </c>
      <c r="I74" s="74">
        <f>ROUNDUP(5.83,0)</f>
        <v>6</v>
      </c>
      <c r="J74" s="75">
        <v>8808</v>
      </c>
      <c r="K74" s="74">
        <f>ROUNDUP(3.05,0)</f>
        <v>4</v>
      </c>
      <c r="L74" s="65">
        <v>0.74270000000000003</v>
      </c>
      <c r="M74" s="67">
        <v>37652</v>
      </c>
      <c r="N74" s="66">
        <v>296</v>
      </c>
      <c r="O74" s="65">
        <v>2.0960999999999999</v>
      </c>
      <c r="P74" s="67">
        <v>11801</v>
      </c>
      <c r="Q74" s="66">
        <v>782</v>
      </c>
    </row>
    <row r="75" spans="2:17" x14ac:dyDescent="0.3">
      <c r="B75" s="22" t="s">
        <v>14</v>
      </c>
      <c r="C75" s="65">
        <v>7</v>
      </c>
      <c r="D75" s="73">
        <v>4</v>
      </c>
      <c r="E75" s="74">
        <f>ROUNDUP(3.25,0)</f>
        <v>4</v>
      </c>
      <c r="F75" s="75">
        <v>0</v>
      </c>
      <c r="G75" s="74">
        <v>0</v>
      </c>
      <c r="H75" s="76">
        <v>0</v>
      </c>
      <c r="I75" s="77">
        <v>0</v>
      </c>
      <c r="J75" s="75">
        <v>4</v>
      </c>
      <c r="K75" s="74">
        <f>ROUNDUP(3.25,0)</f>
        <v>4</v>
      </c>
      <c r="L75" s="65">
        <v>0.40689999999999998</v>
      </c>
      <c r="M75" s="67">
        <v>15</v>
      </c>
      <c r="N75" s="66">
        <v>0</v>
      </c>
      <c r="O75" s="65">
        <v>1.9859</v>
      </c>
      <c r="P75" s="67">
        <v>5</v>
      </c>
      <c r="Q75" s="66">
        <v>2</v>
      </c>
    </row>
    <row r="76" spans="2:17" x14ac:dyDescent="0.3">
      <c r="B76" s="29" t="s">
        <v>15</v>
      </c>
      <c r="C76" s="30">
        <v>4336</v>
      </c>
      <c r="D76" s="56">
        <v>1822</v>
      </c>
      <c r="E76" s="78">
        <f>ROUNDUP(3.28,0)</f>
        <v>4</v>
      </c>
      <c r="F76" s="58">
        <v>0</v>
      </c>
      <c r="G76" s="78">
        <v>0</v>
      </c>
      <c r="H76" s="58">
        <v>945</v>
      </c>
      <c r="I76" s="78">
        <f>ROUNDUP(4.68,0)</f>
        <v>5</v>
      </c>
      <c r="J76" s="58">
        <v>877</v>
      </c>
      <c r="K76" s="78">
        <f>ROUNDUP(1.76,0)</f>
        <v>2</v>
      </c>
      <c r="L76" s="30">
        <v>0.95830000000000004</v>
      </c>
      <c r="M76" s="31">
        <v>12595</v>
      </c>
      <c r="N76" s="34">
        <v>67</v>
      </c>
      <c r="O76" s="30">
        <v>0.56389999999999996</v>
      </c>
      <c r="P76" s="31">
        <v>3512</v>
      </c>
      <c r="Q76" s="34">
        <v>84</v>
      </c>
    </row>
    <row r="78" spans="2:17" x14ac:dyDescent="0.3">
      <c r="B78" s="38" t="s">
        <v>34</v>
      </c>
    </row>
    <row r="79" spans="2:17" ht="43.2" x14ac:dyDescent="0.3">
      <c r="B79" s="2" t="s">
        <v>0</v>
      </c>
      <c r="C79" s="23" t="s">
        <v>1</v>
      </c>
      <c r="D79" s="23" t="s">
        <v>16</v>
      </c>
      <c r="E79" s="23" t="s">
        <v>17</v>
      </c>
      <c r="F79" s="24" t="s">
        <v>18</v>
      </c>
      <c r="G79" s="24" t="s">
        <v>2</v>
      </c>
      <c r="H79" s="26" t="s">
        <v>19</v>
      </c>
      <c r="I79" s="26" t="s">
        <v>3</v>
      </c>
      <c r="J79" s="27" t="s">
        <v>20</v>
      </c>
      <c r="K79" s="27" t="s">
        <v>4</v>
      </c>
      <c r="L79" s="25" t="s">
        <v>5</v>
      </c>
      <c r="M79" s="25" t="s">
        <v>6</v>
      </c>
      <c r="N79" s="25" t="s">
        <v>7</v>
      </c>
      <c r="O79" s="28" t="s">
        <v>8</v>
      </c>
      <c r="P79" s="28" t="s">
        <v>9</v>
      </c>
      <c r="Q79" s="28" t="s">
        <v>10</v>
      </c>
    </row>
    <row r="80" spans="2:17" x14ac:dyDescent="0.3">
      <c r="B80" s="21" t="s">
        <v>12</v>
      </c>
      <c r="C80" s="59">
        <v>12212</v>
      </c>
      <c r="D80" s="68">
        <v>6802</v>
      </c>
      <c r="E80" s="69">
        <f>ROUNDUP(6.71,0)</f>
        <v>7</v>
      </c>
      <c r="F80" s="70" t="s">
        <v>21</v>
      </c>
      <c r="G80" s="71" t="s">
        <v>21</v>
      </c>
      <c r="H80" s="72">
        <v>6353</v>
      </c>
      <c r="I80" s="69">
        <f>ROUNDUP(7.03,0)</f>
        <v>8</v>
      </c>
      <c r="J80" s="72">
        <v>449</v>
      </c>
      <c r="K80" s="69">
        <f>ROUNDUP(2.19,0)</f>
        <v>3</v>
      </c>
      <c r="L80" s="59">
        <v>1.4343999999999999</v>
      </c>
      <c r="M80" s="60">
        <v>32792</v>
      </c>
      <c r="N80" s="63">
        <v>975</v>
      </c>
      <c r="O80" s="61" t="s">
        <v>21</v>
      </c>
      <c r="P80" s="64" t="s">
        <v>21</v>
      </c>
      <c r="Q80" s="62" t="s">
        <v>21</v>
      </c>
    </row>
    <row r="81" spans="2:17" x14ac:dyDescent="0.3">
      <c r="B81" s="22" t="s">
        <v>13</v>
      </c>
      <c r="C81" s="65">
        <v>13843</v>
      </c>
      <c r="D81" s="73">
        <v>9709</v>
      </c>
      <c r="E81" s="74">
        <f>ROUNDUP(3.119,0)</f>
        <v>4</v>
      </c>
      <c r="F81" s="75">
        <v>0</v>
      </c>
      <c r="G81" s="74">
        <v>0</v>
      </c>
      <c r="H81" s="75">
        <v>1234</v>
      </c>
      <c r="I81" s="74">
        <f>ROUNDUP(5.6,0)</f>
        <v>6</v>
      </c>
      <c r="J81" s="75">
        <v>8475</v>
      </c>
      <c r="K81" s="74">
        <f>ROUNDUP(2.84,0)</f>
        <v>3</v>
      </c>
      <c r="L81" s="65">
        <v>0.71630000000000005</v>
      </c>
      <c r="M81" s="67">
        <v>36842</v>
      </c>
      <c r="N81" s="66">
        <v>209</v>
      </c>
      <c r="O81" s="65">
        <v>2.1800999999999999</v>
      </c>
      <c r="P81" s="67">
        <v>11278</v>
      </c>
      <c r="Q81" s="66">
        <v>790</v>
      </c>
    </row>
    <row r="82" spans="2:17" x14ac:dyDescent="0.3">
      <c r="B82" s="22" t="s">
        <v>14</v>
      </c>
      <c r="C82" s="65">
        <v>7</v>
      </c>
      <c r="D82" s="73">
        <v>6</v>
      </c>
      <c r="E82" s="74">
        <f>ROUNDUP(2.83,0)</f>
        <v>3</v>
      </c>
      <c r="F82" s="75">
        <v>0</v>
      </c>
      <c r="G82" s="74">
        <v>0</v>
      </c>
      <c r="H82" s="76">
        <v>0</v>
      </c>
      <c r="I82" s="77">
        <v>0</v>
      </c>
      <c r="J82" s="75">
        <v>6</v>
      </c>
      <c r="K82" s="74">
        <f>ROUNDUP(2.83,0)</f>
        <v>3</v>
      </c>
      <c r="L82" s="65">
        <v>0.21540000000000001</v>
      </c>
      <c r="M82" s="67">
        <v>18</v>
      </c>
      <c r="N82" s="66">
        <v>0</v>
      </c>
      <c r="O82" s="65">
        <v>2.2338</v>
      </c>
      <c r="P82" s="67">
        <v>6</v>
      </c>
      <c r="Q82" s="66">
        <v>0</v>
      </c>
    </row>
    <row r="83" spans="2:17" x14ac:dyDescent="0.3">
      <c r="B83" s="29" t="s">
        <v>15</v>
      </c>
      <c r="C83" s="30">
        <v>4132</v>
      </c>
      <c r="D83" s="56">
        <v>1843</v>
      </c>
      <c r="E83" s="78">
        <f>ROUNDUP(2.95,0)</f>
        <v>3</v>
      </c>
      <c r="F83" s="58">
        <v>0</v>
      </c>
      <c r="G83" s="78">
        <v>0</v>
      </c>
      <c r="H83" s="58">
        <v>890</v>
      </c>
      <c r="I83" s="78">
        <f>ROUNDUP(4.41,0)</f>
        <v>5</v>
      </c>
      <c r="J83" s="58">
        <v>953</v>
      </c>
      <c r="K83" s="78">
        <f>ROUNDUP(1.59,0)</f>
        <v>2</v>
      </c>
      <c r="L83" s="30">
        <v>0.92769999999999997</v>
      </c>
      <c r="M83" s="31">
        <v>11883</v>
      </c>
      <c r="N83" s="34">
        <v>75</v>
      </c>
      <c r="O83" s="30">
        <v>0.43919999999999998</v>
      </c>
      <c r="P83" s="31">
        <v>3307</v>
      </c>
      <c r="Q83" s="34">
        <v>10</v>
      </c>
    </row>
    <row r="85" spans="2:17" x14ac:dyDescent="0.3">
      <c r="B85" s="38" t="s">
        <v>35</v>
      </c>
    </row>
    <row r="86" spans="2:17" ht="43.2" x14ac:dyDescent="0.3">
      <c r="B86" s="2" t="s">
        <v>0</v>
      </c>
      <c r="C86" s="23" t="s">
        <v>1</v>
      </c>
      <c r="D86" s="23" t="s">
        <v>16</v>
      </c>
      <c r="E86" s="23" t="s">
        <v>17</v>
      </c>
      <c r="F86" s="24" t="s">
        <v>18</v>
      </c>
      <c r="G86" s="24" t="s">
        <v>2</v>
      </c>
      <c r="H86" s="26" t="s">
        <v>19</v>
      </c>
      <c r="I86" s="26" t="s">
        <v>3</v>
      </c>
      <c r="J86" s="27" t="s">
        <v>20</v>
      </c>
      <c r="K86" s="27" t="s">
        <v>4</v>
      </c>
      <c r="L86" s="25" t="s">
        <v>5</v>
      </c>
      <c r="M86" s="25" t="s">
        <v>6</v>
      </c>
      <c r="N86" s="25" t="s">
        <v>7</v>
      </c>
      <c r="O86" s="28" t="s">
        <v>8</v>
      </c>
      <c r="P86" s="28" t="s">
        <v>9</v>
      </c>
      <c r="Q86" s="28" t="s">
        <v>10</v>
      </c>
    </row>
    <row r="87" spans="2:17" x14ac:dyDescent="0.3">
      <c r="B87" s="21" t="s">
        <v>12</v>
      </c>
      <c r="C87" s="59">
        <v>10987</v>
      </c>
      <c r="D87" s="68">
        <v>6156</v>
      </c>
      <c r="E87" s="69">
        <f>ROUNDUP(6.46,0)</f>
        <v>7</v>
      </c>
      <c r="F87" s="70" t="s">
        <v>21</v>
      </c>
      <c r="G87" s="71" t="s">
        <v>21</v>
      </c>
      <c r="H87" s="72">
        <v>5699</v>
      </c>
      <c r="I87" s="69">
        <f>ROUNDUP(6.88,0)</f>
        <v>7</v>
      </c>
      <c r="J87" s="72">
        <v>457</v>
      </c>
      <c r="K87" s="69">
        <f>ROUNDUP(1.19,0)</f>
        <v>2</v>
      </c>
      <c r="L87" s="59">
        <v>1.5379</v>
      </c>
      <c r="M87" s="60">
        <v>31042</v>
      </c>
      <c r="N87" s="63">
        <v>948</v>
      </c>
      <c r="O87" s="61" t="s">
        <v>21</v>
      </c>
      <c r="P87" s="64" t="s">
        <v>21</v>
      </c>
      <c r="Q87" s="62" t="s">
        <v>21</v>
      </c>
    </row>
    <row r="88" spans="2:17" x14ac:dyDescent="0.3">
      <c r="B88" s="22" t="s">
        <v>13</v>
      </c>
      <c r="C88" s="65">
        <v>11545</v>
      </c>
      <c r="D88" s="73">
        <v>9294</v>
      </c>
      <c r="E88" s="74">
        <f>ROUNDUP(3.81,0)</f>
        <v>4</v>
      </c>
      <c r="F88" s="75">
        <v>0</v>
      </c>
      <c r="G88" s="74">
        <v>0</v>
      </c>
      <c r="H88" s="75">
        <v>1039</v>
      </c>
      <c r="I88" s="74">
        <f>ROUNDUP(6.79,0)</f>
        <v>7</v>
      </c>
      <c r="J88" s="75">
        <v>8255</v>
      </c>
      <c r="K88" s="74">
        <f>ROUNDUP(3.44,0)</f>
        <v>4</v>
      </c>
      <c r="L88" s="65">
        <v>0.86870000000000003</v>
      </c>
      <c r="M88" s="67">
        <v>33289</v>
      </c>
      <c r="N88" s="66">
        <v>400</v>
      </c>
      <c r="O88" s="65">
        <v>2.9918999999999998</v>
      </c>
      <c r="P88" s="67">
        <v>10511</v>
      </c>
      <c r="Q88" s="66">
        <v>2245</v>
      </c>
    </row>
    <row r="89" spans="2:17" x14ac:dyDescent="0.3">
      <c r="B89" s="22" t="s">
        <v>14</v>
      </c>
      <c r="C89" s="65">
        <v>3</v>
      </c>
      <c r="D89" s="73">
        <v>5</v>
      </c>
      <c r="E89" s="74">
        <f>ROUNDUP(2.2,0)</f>
        <v>3</v>
      </c>
      <c r="F89" s="75">
        <v>0</v>
      </c>
      <c r="G89" s="74">
        <v>0</v>
      </c>
      <c r="H89" s="76">
        <v>0</v>
      </c>
      <c r="I89" s="77">
        <v>0</v>
      </c>
      <c r="J89" s="75">
        <v>5</v>
      </c>
      <c r="K89" s="74">
        <f>ROUNDUP(2.2,0)</f>
        <v>3</v>
      </c>
      <c r="L89" s="65">
        <v>8.48E-2</v>
      </c>
      <c r="M89" s="67">
        <v>9</v>
      </c>
      <c r="N89" s="66">
        <v>0</v>
      </c>
      <c r="O89" s="65">
        <v>1.6266</v>
      </c>
      <c r="P89" s="67">
        <v>3</v>
      </c>
      <c r="Q89" s="66">
        <v>1</v>
      </c>
    </row>
    <row r="90" spans="2:17" x14ac:dyDescent="0.3">
      <c r="B90" s="29" t="s">
        <v>15</v>
      </c>
      <c r="C90" s="30">
        <v>3599</v>
      </c>
      <c r="D90" s="56">
        <v>1531</v>
      </c>
      <c r="E90" s="78">
        <f>ROUNDUP(3.23,0)</f>
        <v>4</v>
      </c>
      <c r="F90" s="58">
        <v>0</v>
      </c>
      <c r="G90" s="78">
        <v>0</v>
      </c>
      <c r="H90" s="58">
        <v>723</v>
      </c>
      <c r="I90" s="78">
        <f>ROUNDUP(4.82,0)</f>
        <v>5</v>
      </c>
      <c r="J90" s="58">
        <v>808</v>
      </c>
      <c r="K90" s="78">
        <f>ROUNDUP(1.8,0)</f>
        <v>2</v>
      </c>
      <c r="L90" s="30">
        <v>1.1807000000000001</v>
      </c>
      <c r="M90" s="31">
        <v>10573</v>
      </c>
      <c r="N90" s="34">
        <v>121</v>
      </c>
      <c r="O90" s="30">
        <v>0.56559999999999999</v>
      </c>
      <c r="P90" s="31">
        <v>2828</v>
      </c>
      <c r="Q90" s="34">
        <v>13</v>
      </c>
    </row>
  </sheetData>
  <pageMargins left="0.7" right="0.7" top="0.75" bottom="0.75" header="0.3" footer="0.3"/>
  <pageSetup paperSize="9" scale="5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Q90"/>
  <sheetViews>
    <sheetView showGridLines="0" tabSelected="1" topLeftCell="A39" zoomScale="115" zoomScaleNormal="115" workbookViewId="0">
      <selection activeCell="M86" sqref="M86"/>
    </sheetView>
  </sheetViews>
  <sheetFormatPr defaultRowHeight="14.4" x14ac:dyDescent="0.3"/>
  <cols>
    <col min="1" max="1" width="2.5546875" customWidth="1"/>
    <col min="2" max="2" width="27" bestFit="1" customWidth="1"/>
    <col min="3" max="3" width="10.77734375" bestFit="1" customWidth="1"/>
    <col min="4" max="4" width="12.21875" bestFit="1" customWidth="1"/>
    <col min="5" max="5" width="13.5546875" bestFit="1" customWidth="1"/>
    <col min="6" max="6" width="22.21875" bestFit="1" customWidth="1"/>
    <col min="7" max="7" width="14" bestFit="1" customWidth="1"/>
    <col min="8" max="8" width="19.77734375" bestFit="1" customWidth="1"/>
    <col min="9" max="9" width="13.5546875" bestFit="1" customWidth="1"/>
    <col min="10" max="10" width="19.77734375" bestFit="1" customWidth="1"/>
    <col min="11" max="12" width="13.5546875" bestFit="1" customWidth="1"/>
    <col min="13" max="13" width="10.5546875" bestFit="1" customWidth="1"/>
    <col min="14" max="14" width="9.5546875" bestFit="1" customWidth="1"/>
    <col min="15" max="15" width="13.5546875" bestFit="1" customWidth="1"/>
    <col min="16" max="17" width="11.21875" bestFit="1" customWidth="1"/>
  </cols>
  <sheetData>
    <row r="6" spans="1:17" x14ac:dyDescent="0.3">
      <c r="B6" s="39" t="s">
        <v>38</v>
      </c>
    </row>
    <row r="8" spans="1:17" x14ac:dyDescent="0.3">
      <c r="B8" s="38" t="s">
        <v>24</v>
      </c>
    </row>
    <row r="9" spans="1:17" ht="48.75" customHeight="1" x14ac:dyDescent="0.3">
      <c r="A9" s="1"/>
      <c r="B9" s="2" t="s">
        <v>0</v>
      </c>
      <c r="C9" s="23" t="s">
        <v>1</v>
      </c>
      <c r="D9" s="23" t="s">
        <v>16</v>
      </c>
      <c r="E9" s="23" t="s">
        <v>17</v>
      </c>
      <c r="F9" s="24" t="s">
        <v>18</v>
      </c>
      <c r="G9" s="24" t="s">
        <v>2</v>
      </c>
      <c r="H9" s="26" t="s">
        <v>19</v>
      </c>
      <c r="I9" s="26" t="s">
        <v>3</v>
      </c>
      <c r="J9" s="27" t="s">
        <v>20</v>
      </c>
      <c r="K9" s="27" t="s">
        <v>4</v>
      </c>
      <c r="L9" s="25" t="s">
        <v>5</v>
      </c>
      <c r="M9" s="25" t="s">
        <v>6</v>
      </c>
      <c r="N9" s="25" t="s">
        <v>7</v>
      </c>
      <c r="O9" s="28" t="s">
        <v>8</v>
      </c>
      <c r="P9" s="28" t="s">
        <v>9</v>
      </c>
      <c r="Q9" s="28" t="s">
        <v>10</v>
      </c>
    </row>
    <row r="10" spans="1:17" x14ac:dyDescent="0.3">
      <c r="B10" s="21" t="s">
        <v>12</v>
      </c>
      <c r="C10" s="87">
        <v>12945</v>
      </c>
      <c r="D10" s="90">
        <v>6237</v>
      </c>
      <c r="E10" s="91">
        <v>12</v>
      </c>
      <c r="F10" s="92" t="s">
        <v>39</v>
      </c>
      <c r="G10" s="92" t="s">
        <v>39</v>
      </c>
      <c r="H10" s="93">
        <v>5873</v>
      </c>
      <c r="I10" s="91">
        <f>ROUNDUP(12.5259,0)</f>
        <v>13</v>
      </c>
      <c r="J10" s="93">
        <v>364</v>
      </c>
      <c r="K10" s="91">
        <v>1</v>
      </c>
      <c r="L10" s="87">
        <v>2</v>
      </c>
      <c r="M10" s="94">
        <v>36767</v>
      </c>
      <c r="N10" s="95">
        <v>1256</v>
      </c>
      <c r="O10" s="92" t="s">
        <v>39</v>
      </c>
      <c r="P10" s="92" t="s">
        <v>39</v>
      </c>
      <c r="Q10" s="92" t="s">
        <v>39</v>
      </c>
    </row>
    <row r="11" spans="1:17" x14ac:dyDescent="0.3">
      <c r="B11" s="22" t="s">
        <v>13</v>
      </c>
      <c r="C11" s="88">
        <v>16840</v>
      </c>
      <c r="D11" s="96">
        <v>13050</v>
      </c>
      <c r="E11" s="97">
        <v>7</v>
      </c>
      <c r="F11" s="98">
        <v>0</v>
      </c>
      <c r="G11" s="97">
        <v>0</v>
      </c>
      <c r="H11" s="98">
        <v>1069</v>
      </c>
      <c r="I11" s="97">
        <f>ROUNDUP(11.8714,0)</f>
        <v>12</v>
      </c>
      <c r="J11" s="98">
        <v>12976</v>
      </c>
      <c r="K11" s="97">
        <v>6</v>
      </c>
      <c r="L11" s="88">
        <v>1</v>
      </c>
      <c r="M11" s="99">
        <v>49072</v>
      </c>
      <c r="N11" s="100">
        <v>503</v>
      </c>
      <c r="O11" s="88">
        <v>3</v>
      </c>
      <c r="P11" s="99">
        <v>15750</v>
      </c>
      <c r="Q11" s="100">
        <v>454</v>
      </c>
    </row>
    <row r="12" spans="1:17" x14ac:dyDescent="0.3">
      <c r="B12" s="22" t="s">
        <v>14</v>
      </c>
      <c r="C12" s="88">
        <v>8</v>
      </c>
      <c r="D12" s="96">
        <v>7</v>
      </c>
      <c r="E12" s="97">
        <v>5</v>
      </c>
      <c r="F12" s="98">
        <v>0</v>
      </c>
      <c r="G12" s="97">
        <v>0</v>
      </c>
      <c r="H12" s="101">
        <v>0</v>
      </c>
      <c r="I12" s="102">
        <v>0</v>
      </c>
      <c r="J12" s="98">
        <v>7</v>
      </c>
      <c r="K12" s="97">
        <v>4</v>
      </c>
      <c r="L12" s="88">
        <v>1</v>
      </c>
      <c r="M12" s="99">
        <v>21</v>
      </c>
      <c r="N12" s="100">
        <v>0</v>
      </c>
      <c r="O12" s="88">
        <v>2</v>
      </c>
      <c r="P12" s="99">
        <v>7</v>
      </c>
      <c r="Q12" s="100">
        <v>0</v>
      </c>
    </row>
    <row r="13" spans="1:17" x14ac:dyDescent="0.3">
      <c r="B13" s="29" t="s">
        <v>15</v>
      </c>
      <c r="C13" s="89">
        <v>4337</v>
      </c>
      <c r="D13" s="103">
        <v>2114</v>
      </c>
      <c r="E13" s="104">
        <v>5</v>
      </c>
      <c r="F13" s="105">
        <v>0</v>
      </c>
      <c r="G13" s="104">
        <v>0</v>
      </c>
      <c r="H13" s="105">
        <v>760</v>
      </c>
      <c r="I13" s="104">
        <f>ROUNDUP(7.5196,0)</f>
        <v>8</v>
      </c>
      <c r="J13" s="105">
        <v>1440</v>
      </c>
      <c r="K13" s="104">
        <v>3</v>
      </c>
      <c r="L13" s="89">
        <v>1</v>
      </c>
      <c r="M13" s="106">
        <v>12282</v>
      </c>
      <c r="N13" s="107">
        <v>140</v>
      </c>
      <c r="O13" s="89">
        <v>0.37630000000000002</v>
      </c>
      <c r="P13" s="106">
        <v>3468</v>
      </c>
      <c r="Q13" s="107">
        <v>16</v>
      </c>
    </row>
    <row r="15" spans="1:17" x14ac:dyDescent="0.3">
      <c r="B15" s="38" t="s">
        <v>25</v>
      </c>
    </row>
    <row r="16" spans="1:17" ht="43.2" x14ac:dyDescent="0.3">
      <c r="A16" s="1"/>
      <c r="B16" s="2" t="s">
        <v>0</v>
      </c>
      <c r="C16" s="23" t="s">
        <v>1</v>
      </c>
      <c r="D16" s="23" t="s">
        <v>16</v>
      </c>
      <c r="E16" s="23" t="s">
        <v>17</v>
      </c>
      <c r="F16" s="24" t="s">
        <v>18</v>
      </c>
      <c r="G16" s="24" t="s">
        <v>2</v>
      </c>
      <c r="H16" s="26" t="s">
        <v>19</v>
      </c>
      <c r="I16" s="26" t="s">
        <v>3</v>
      </c>
      <c r="J16" s="27" t="s">
        <v>20</v>
      </c>
      <c r="K16" s="27" t="s">
        <v>4</v>
      </c>
      <c r="L16" s="25" t="s">
        <v>5</v>
      </c>
      <c r="M16" s="25" t="s">
        <v>6</v>
      </c>
      <c r="N16" s="25" t="s">
        <v>7</v>
      </c>
      <c r="O16" s="28" t="s">
        <v>8</v>
      </c>
      <c r="P16" s="28" t="s">
        <v>9</v>
      </c>
      <c r="Q16" s="28" t="s">
        <v>10</v>
      </c>
    </row>
    <row r="17" spans="2:17" x14ac:dyDescent="0.3">
      <c r="B17" s="21" t="s">
        <v>12</v>
      </c>
      <c r="C17" s="87">
        <v>10271</v>
      </c>
      <c r="D17" s="90">
        <v>5740</v>
      </c>
      <c r="E17" s="90">
        <v>10</v>
      </c>
      <c r="F17" s="92" t="s">
        <v>39</v>
      </c>
      <c r="G17" s="92" t="s">
        <v>39</v>
      </c>
      <c r="H17" s="90">
        <v>5417</v>
      </c>
      <c r="I17" s="90">
        <v>10</v>
      </c>
      <c r="J17" s="49">
        <v>323</v>
      </c>
      <c r="K17" s="49">
        <v>2</v>
      </c>
      <c r="L17" s="49">
        <v>2</v>
      </c>
      <c r="M17" s="5">
        <v>28830</v>
      </c>
      <c r="N17" s="15">
        <v>713</v>
      </c>
      <c r="O17" s="18" t="s">
        <v>39</v>
      </c>
      <c r="P17" s="18" t="s">
        <v>11</v>
      </c>
      <c r="Q17" s="18" t="s">
        <v>11</v>
      </c>
    </row>
    <row r="18" spans="2:17" x14ac:dyDescent="0.3">
      <c r="B18" s="22" t="s">
        <v>13</v>
      </c>
      <c r="C18" s="88">
        <v>10306</v>
      </c>
      <c r="D18" s="96">
        <v>8773</v>
      </c>
      <c r="E18" s="96">
        <v>7</v>
      </c>
      <c r="F18" s="98">
        <v>0</v>
      </c>
      <c r="G18" s="97">
        <v>0</v>
      </c>
      <c r="H18" s="96">
        <v>374</v>
      </c>
      <c r="I18" s="96">
        <v>12</v>
      </c>
      <c r="J18" s="52">
        <v>9261</v>
      </c>
      <c r="K18" s="52">
        <v>7</v>
      </c>
      <c r="L18" s="16">
        <v>1</v>
      </c>
      <c r="M18" s="8">
        <v>28007</v>
      </c>
      <c r="N18" s="17">
        <v>625</v>
      </c>
      <c r="O18" s="16">
        <v>3</v>
      </c>
      <c r="P18" s="8">
        <v>9326</v>
      </c>
      <c r="Q18" s="17">
        <v>951</v>
      </c>
    </row>
    <row r="19" spans="2:17" x14ac:dyDescent="0.3">
      <c r="B19" s="22" t="s">
        <v>14</v>
      </c>
      <c r="C19" s="88">
        <v>10</v>
      </c>
      <c r="D19" s="96">
        <v>9</v>
      </c>
      <c r="E19" s="96">
        <v>5</v>
      </c>
      <c r="F19" s="98">
        <v>0</v>
      </c>
      <c r="G19" s="97">
        <v>0</v>
      </c>
      <c r="H19" s="96">
        <v>0</v>
      </c>
      <c r="I19" s="96">
        <v>0</v>
      </c>
      <c r="J19" s="52">
        <v>9</v>
      </c>
      <c r="K19" s="52">
        <v>5</v>
      </c>
      <c r="L19" s="16">
        <v>1</v>
      </c>
      <c r="M19" s="8">
        <v>28</v>
      </c>
      <c r="N19" s="17">
        <v>0</v>
      </c>
      <c r="O19" s="16">
        <v>1</v>
      </c>
      <c r="P19" s="8">
        <v>9</v>
      </c>
      <c r="Q19" s="17">
        <v>1</v>
      </c>
    </row>
    <row r="20" spans="2:17" x14ac:dyDescent="0.3">
      <c r="B20" s="29" t="s">
        <v>15</v>
      </c>
      <c r="C20" s="89">
        <v>2296</v>
      </c>
      <c r="D20" s="103">
        <v>1205</v>
      </c>
      <c r="E20" s="103">
        <v>4</v>
      </c>
      <c r="F20" s="105">
        <v>0</v>
      </c>
      <c r="G20" s="104">
        <v>0</v>
      </c>
      <c r="H20" s="103">
        <v>196</v>
      </c>
      <c r="I20" s="103">
        <v>9</v>
      </c>
      <c r="J20" s="58">
        <v>1110</v>
      </c>
      <c r="K20" s="58">
        <v>3</v>
      </c>
      <c r="L20" s="58">
        <v>1</v>
      </c>
      <c r="M20" s="31">
        <v>5795</v>
      </c>
      <c r="N20" s="34">
        <v>31</v>
      </c>
      <c r="O20" s="33">
        <v>1</v>
      </c>
      <c r="P20" s="31">
        <v>1716</v>
      </c>
      <c r="Q20" s="35">
        <v>13</v>
      </c>
    </row>
    <row r="22" spans="2:17" x14ac:dyDescent="0.3">
      <c r="B22" s="38" t="s">
        <v>26</v>
      </c>
    </row>
    <row r="23" spans="2:17" ht="43.2" x14ac:dyDescent="0.3">
      <c r="B23" s="2" t="s">
        <v>0</v>
      </c>
      <c r="C23" s="23" t="s">
        <v>1</v>
      </c>
      <c r="D23" s="23" t="s">
        <v>16</v>
      </c>
      <c r="E23" s="23" t="s">
        <v>17</v>
      </c>
      <c r="F23" s="24" t="s">
        <v>18</v>
      </c>
      <c r="G23" s="24" t="s">
        <v>2</v>
      </c>
      <c r="H23" s="26" t="s">
        <v>19</v>
      </c>
      <c r="I23" s="26" t="s">
        <v>3</v>
      </c>
      <c r="J23" s="27" t="s">
        <v>20</v>
      </c>
      <c r="K23" s="27" t="s">
        <v>4</v>
      </c>
      <c r="L23" s="25" t="s">
        <v>5</v>
      </c>
      <c r="M23" s="25" t="s">
        <v>6</v>
      </c>
      <c r="N23" s="25" t="s">
        <v>7</v>
      </c>
      <c r="O23" s="28" t="s">
        <v>8</v>
      </c>
      <c r="P23" s="28" t="s">
        <v>9</v>
      </c>
      <c r="Q23" s="28" t="s">
        <v>10</v>
      </c>
    </row>
    <row r="24" spans="2:17" x14ac:dyDescent="0.3">
      <c r="B24" s="21" t="s">
        <v>12</v>
      </c>
      <c r="C24" s="87">
        <v>12522</v>
      </c>
      <c r="D24" s="90">
        <v>6535</v>
      </c>
      <c r="E24" s="90">
        <v>11</v>
      </c>
      <c r="F24" s="92" t="s">
        <v>39</v>
      </c>
      <c r="G24" s="92" t="s">
        <v>39</v>
      </c>
      <c r="H24" s="90">
        <v>6050</v>
      </c>
      <c r="I24" s="90">
        <v>12</v>
      </c>
      <c r="J24" s="49">
        <v>485</v>
      </c>
      <c r="K24" s="49">
        <v>1</v>
      </c>
      <c r="L24" s="49">
        <v>2</v>
      </c>
      <c r="M24" s="5">
        <v>37662</v>
      </c>
      <c r="N24" s="15">
        <v>1486</v>
      </c>
      <c r="O24" s="18" t="s">
        <v>39</v>
      </c>
      <c r="P24" s="18" t="s">
        <v>11</v>
      </c>
      <c r="Q24" s="18" t="s">
        <v>11</v>
      </c>
    </row>
    <row r="25" spans="2:17" x14ac:dyDescent="0.3">
      <c r="B25" s="22" t="s">
        <v>13</v>
      </c>
      <c r="C25" s="88">
        <v>11075</v>
      </c>
      <c r="D25" s="96">
        <v>9573</v>
      </c>
      <c r="E25" s="96">
        <v>8</v>
      </c>
      <c r="F25" s="98">
        <v>0</v>
      </c>
      <c r="G25" s="97">
        <v>0</v>
      </c>
      <c r="H25" s="96">
        <v>468</v>
      </c>
      <c r="I25" s="96">
        <v>12</v>
      </c>
      <c r="J25" s="52">
        <v>9451</v>
      </c>
      <c r="K25" s="52">
        <v>7</v>
      </c>
      <c r="L25" s="16">
        <v>1</v>
      </c>
      <c r="M25" s="8">
        <v>31025</v>
      </c>
      <c r="N25" s="17">
        <v>508</v>
      </c>
      <c r="O25" s="16">
        <v>3</v>
      </c>
      <c r="P25" s="8">
        <v>9972</v>
      </c>
      <c r="Q25" s="17">
        <v>1264</v>
      </c>
    </row>
    <row r="26" spans="2:17" x14ac:dyDescent="0.3">
      <c r="B26" s="22" t="s">
        <v>14</v>
      </c>
      <c r="C26" s="88">
        <v>9</v>
      </c>
      <c r="D26" s="96">
        <v>8</v>
      </c>
      <c r="E26" s="96">
        <v>4</v>
      </c>
      <c r="F26" s="98">
        <v>0</v>
      </c>
      <c r="G26" s="97">
        <v>0</v>
      </c>
      <c r="H26" s="96">
        <v>0</v>
      </c>
      <c r="I26" s="96">
        <v>0</v>
      </c>
      <c r="J26" s="52">
        <v>8</v>
      </c>
      <c r="K26" s="52">
        <v>4</v>
      </c>
      <c r="L26" s="16">
        <v>1</v>
      </c>
      <c r="M26" s="8">
        <v>27</v>
      </c>
      <c r="N26" s="17">
        <v>1</v>
      </c>
      <c r="O26" s="16">
        <v>2</v>
      </c>
      <c r="P26" s="8">
        <v>9</v>
      </c>
      <c r="Q26" s="17">
        <v>0</v>
      </c>
    </row>
    <row r="27" spans="2:17" x14ac:dyDescent="0.3">
      <c r="B27" s="29" t="s">
        <v>15</v>
      </c>
      <c r="C27" s="89">
        <v>2569</v>
      </c>
      <c r="D27" s="103">
        <v>1414</v>
      </c>
      <c r="E27" s="103">
        <v>4</v>
      </c>
      <c r="F27" s="105">
        <v>0</v>
      </c>
      <c r="G27" s="104">
        <v>0</v>
      </c>
      <c r="H27" s="103">
        <v>230</v>
      </c>
      <c r="I27" s="103">
        <v>7</v>
      </c>
      <c r="J27" s="58">
        <v>1214</v>
      </c>
      <c r="K27" s="58">
        <v>3</v>
      </c>
      <c r="L27" s="58">
        <v>1</v>
      </c>
      <c r="M27" s="31">
        <v>6684</v>
      </c>
      <c r="N27" s="34">
        <v>89</v>
      </c>
      <c r="O27" s="33">
        <v>1</v>
      </c>
      <c r="P27" s="31">
        <v>1909</v>
      </c>
      <c r="Q27" s="35">
        <v>25</v>
      </c>
    </row>
    <row r="29" spans="2:17" x14ac:dyDescent="0.3">
      <c r="B29" s="38" t="s">
        <v>27</v>
      </c>
    </row>
    <row r="30" spans="2:17" ht="43.2" x14ac:dyDescent="0.3">
      <c r="B30" s="2" t="s">
        <v>0</v>
      </c>
      <c r="C30" s="23" t="s">
        <v>1</v>
      </c>
      <c r="D30" s="23" t="s">
        <v>16</v>
      </c>
      <c r="E30" s="23" t="s">
        <v>17</v>
      </c>
      <c r="F30" s="24" t="s">
        <v>18</v>
      </c>
      <c r="G30" s="24" t="s">
        <v>2</v>
      </c>
      <c r="H30" s="26" t="s">
        <v>19</v>
      </c>
      <c r="I30" s="26" t="s">
        <v>3</v>
      </c>
      <c r="J30" s="27" t="s">
        <v>20</v>
      </c>
      <c r="K30" s="27" t="s">
        <v>4</v>
      </c>
      <c r="L30" s="25" t="s">
        <v>5</v>
      </c>
      <c r="M30" s="25" t="s">
        <v>6</v>
      </c>
      <c r="N30" s="25" t="s">
        <v>7</v>
      </c>
      <c r="O30" s="28" t="s">
        <v>8</v>
      </c>
      <c r="P30" s="28" t="s">
        <v>9</v>
      </c>
      <c r="Q30" s="28" t="s">
        <v>10</v>
      </c>
    </row>
    <row r="31" spans="2:17" x14ac:dyDescent="0.3">
      <c r="B31" s="21" t="s">
        <v>12</v>
      </c>
      <c r="C31" s="87">
        <v>11522</v>
      </c>
      <c r="D31" s="90">
        <v>6523</v>
      </c>
      <c r="E31" s="90">
        <v>11</v>
      </c>
      <c r="F31" s="92" t="s">
        <v>39</v>
      </c>
      <c r="G31" s="92" t="s">
        <v>39</v>
      </c>
      <c r="H31" s="90">
        <v>6098</v>
      </c>
      <c r="I31" s="90">
        <v>12</v>
      </c>
      <c r="J31" s="49">
        <v>425</v>
      </c>
      <c r="K31" s="49">
        <v>1</v>
      </c>
      <c r="L31" s="49">
        <v>2</v>
      </c>
      <c r="M31" s="5">
        <v>34518</v>
      </c>
      <c r="N31" s="15">
        <v>965</v>
      </c>
      <c r="O31" s="18" t="s">
        <v>39</v>
      </c>
      <c r="P31" s="18" t="s">
        <v>11</v>
      </c>
      <c r="Q31" s="18" t="s">
        <v>11</v>
      </c>
    </row>
    <row r="32" spans="2:17" x14ac:dyDescent="0.3">
      <c r="B32" s="22" t="s">
        <v>13</v>
      </c>
      <c r="C32" s="88">
        <v>12099</v>
      </c>
      <c r="D32" s="96">
        <v>8838</v>
      </c>
      <c r="E32" s="96">
        <v>8</v>
      </c>
      <c r="F32" s="98">
        <v>0</v>
      </c>
      <c r="G32" s="97">
        <v>0</v>
      </c>
      <c r="H32" s="96">
        <v>417</v>
      </c>
      <c r="I32" s="96">
        <v>12</v>
      </c>
      <c r="J32" s="52">
        <v>9308</v>
      </c>
      <c r="K32" s="52">
        <v>8</v>
      </c>
      <c r="L32" s="16">
        <v>1</v>
      </c>
      <c r="M32" s="8">
        <v>33458</v>
      </c>
      <c r="N32" s="17">
        <v>253</v>
      </c>
      <c r="O32" s="16">
        <v>3</v>
      </c>
      <c r="P32" s="8">
        <v>10790</v>
      </c>
      <c r="Q32" s="17">
        <v>1473</v>
      </c>
    </row>
    <row r="33" spans="2:17" x14ac:dyDescent="0.3">
      <c r="B33" s="22" t="s">
        <v>14</v>
      </c>
      <c r="C33" s="88">
        <v>11</v>
      </c>
      <c r="D33" s="96">
        <v>8</v>
      </c>
      <c r="E33" s="96">
        <v>5</v>
      </c>
      <c r="F33" s="98">
        <v>0</v>
      </c>
      <c r="G33" s="97">
        <v>0</v>
      </c>
      <c r="H33" s="96">
        <v>0</v>
      </c>
      <c r="I33" s="96">
        <v>0</v>
      </c>
      <c r="J33" s="52">
        <v>8</v>
      </c>
      <c r="K33" s="52">
        <v>5</v>
      </c>
      <c r="L33" s="16">
        <v>1</v>
      </c>
      <c r="M33" s="8">
        <v>26</v>
      </c>
      <c r="N33" s="17">
        <v>0</v>
      </c>
      <c r="O33" s="16">
        <v>2</v>
      </c>
      <c r="P33" s="8">
        <v>8</v>
      </c>
      <c r="Q33" s="17">
        <v>0</v>
      </c>
    </row>
    <row r="34" spans="2:17" x14ac:dyDescent="0.3">
      <c r="B34" s="29" t="s">
        <v>15</v>
      </c>
      <c r="C34" s="89">
        <v>2703</v>
      </c>
      <c r="D34" s="103">
        <v>1310</v>
      </c>
      <c r="E34" s="103">
        <v>4</v>
      </c>
      <c r="F34" s="105">
        <v>0</v>
      </c>
      <c r="G34" s="104">
        <v>0</v>
      </c>
      <c r="H34" s="103">
        <v>202</v>
      </c>
      <c r="I34" s="103">
        <v>7</v>
      </c>
      <c r="J34" s="58">
        <v>1182</v>
      </c>
      <c r="K34" s="58">
        <v>3</v>
      </c>
      <c r="L34" s="58">
        <v>1</v>
      </c>
      <c r="M34" s="31">
        <v>6666</v>
      </c>
      <c r="N34" s="34">
        <v>41</v>
      </c>
      <c r="O34" s="33">
        <v>1</v>
      </c>
      <c r="P34" s="31">
        <v>1907</v>
      </c>
      <c r="Q34" s="35">
        <v>20</v>
      </c>
    </row>
    <row r="36" spans="2:17" x14ac:dyDescent="0.3">
      <c r="B36" s="38" t="s">
        <v>28</v>
      </c>
    </row>
    <row r="37" spans="2:17" ht="43.2" x14ac:dyDescent="0.3">
      <c r="B37" s="2" t="s">
        <v>0</v>
      </c>
      <c r="C37" s="23" t="s">
        <v>1</v>
      </c>
      <c r="D37" s="23" t="s">
        <v>16</v>
      </c>
      <c r="E37" s="23" t="s">
        <v>17</v>
      </c>
      <c r="F37" s="24" t="s">
        <v>18</v>
      </c>
      <c r="G37" s="24" t="s">
        <v>2</v>
      </c>
      <c r="H37" s="26" t="s">
        <v>19</v>
      </c>
      <c r="I37" s="26" t="s">
        <v>3</v>
      </c>
      <c r="J37" s="27" t="s">
        <v>20</v>
      </c>
      <c r="K37" s="27" t="s">
        <v>4</v>
      </c>
      <c r="L37" s="25" t="s">
        <v>5</v>
      </c>
      <c r="M37" s="25" t="s">
        <v>6</v>
      </c>
      <c r="N37" s="25" t="s">
        <v>7</v>
      </c>
      <c r="O37" s="28" t="s">
        <v>8</v>
      </c>
      <c r="P37" s="28" t="s">
        <v>9</v>
      </c>
      <c r="Q37" s="28" t="s">
        <v>10</v>
      </c>
    </row>
    <row r="38" spans="2:17" x14ac:dyDescent="0.3">
      <c r="B38" s="21" t="s">
        <v>12</v>
      </c>
      <c r="C38" s="87">
        <v>12370</v>
      </c>
      <c r="D38" s="90">
        <v>6737</v>
      </c>
      <c r="E38" s="90">
        <v>11</v>
      </c>
      <c r="F38" s="92" t="s">
        <v>39</v>
      </c>
      <c r="G38" s="92" t="s">
        <v>39</v>
      </c>
      <c r="H38" s="90">
        <v>6350</v>
      </c>
      <c r="I38" s="90">
        <v>11</v>
      </c>
      <c r="J38" s="49">
        <v>387</v>
      </c>
      <c r="K38" s="49">
        <v>2</v>
      </c>
      <c r="L38" s="49">
        <v>2</v>
      </c>
      <c r="M38" s="5">
        <v>36846</v>
      </c>
      <c r="N38" s="15">
        <v>1164</v>
      </c>
      <c r="O38" s="18" t="s">
        <v>39</v>
      </c>
      <c r="P38" s="18" t="s">
        <v>11</v>
      </c>
      <c r="Q38" s="18" t="s">
        <v>11</v>
      </c>
    </row>
    <row r="39" spans="2:17" x14ac:dyDescent="0.3">
      <c r="B39" s="22" t="s">
        <v>13</v>
      </c>
      <c r="C39" s="88">
        <v>12087</v>
      </c>
      <c r="D39" s="96">
        <v>9998</v>
      </c>
      <c r="E39" s="96">
        <v>7</v>
      </c>
      <c r="F39" s="98">
        <v>0</v>
      </c>
      <c r="G39" s="97">
        <v>0</v>
      </c>
      <c r="H39" s="96">
        <v>481</v>
      </c>
      <c r="I39" s="96">
        <v>12</v>
      </c>
      <c r="J39" s="52">
        <v>9988</v>
      </c>
      <c r="K39" s="52">
        <v>7</v>
      </c>
      <c r="L39" s="16">
        <v>1</v>
      </c>
      <c r="M39" s="8">
        <v>33928</v>
      </c>
      <c r="N39" s="17">
        <v>447</v>
      </c>
      <c r="O39" s="16">
        <v>3</v>
      </c>
      <c r="P39" s="8">
        <v>10843</v>
      </c>
      <c r="Q39" s="17">
        <v>352</v>
      </c>
    </row>
    <row r="40" spans="2:17" x14ac:dyDescent="0.3">
      <c r="B40" s="22" t="s">
        <v>14</v>
      </c>
      <c r="C40" s="88">
        <v>11</v>
      </c>
      <c r="D40" s="96">
        <v>9</v>
      </c>
      <c r="E40" s="96">
        <v>6</v>
      </c>
      <c r="F40" s="98">
        <v>0</v>
      </c>
      <c r="G40" s="97">
        <v>0</v>
      </c>
      <c r="H40" s="96">
        <v>0</v>
      </c>
      <c r="I40" s="96">
        <v>0</v>
      </c>
      <c r="J40" s="52">
        <v>9</v>
      </c>
      <c r="K40" s="52">
        <v>6</v>
      </c>
      <c r="L40" s="16">
        <v>1</v>
      </c>
      <c r="M40" s="8">
        <v>29</v>
      </c>
      <c r="N40" s="17">
        <v>1</v>
      </c>
      <c r="O40" s="16">
        <v>3</v>
      </c>
      <c r="P40" s="8">
        <v>10</v>
      </c>
      <c r="Q40" s="17">
        <v>1</v>
      </c>
    </row>
    <row r="41" spans="2:17" x14ac:dyDescent="0.3">
      <c r="B41" s="29" t="s">
        <v>15</v>
      </c>
      <c r="C41" s="89">
        <v>2696</v>
      </c>
      <c r="D41" s="103">
        <v>1378</v>
      </c>
      <c r="E41" s="103">
        <v>4</v>
      </c>
      <c r="F41" s="105">
        <v>0</v>
      </c>
      <c r="G41" s="104">
        <v>0</v>
      </c>
      <c r="H41" s="103">
        <v>231</v>
      </c>
      <c r="I41" s="103">
        <v>6</v>
      </c>
      <c r="J41" s="58">
        <v>1212</v>
      </c>
      <c r="K41" s="58">
        <v>3</v>
      </c>
      <c r="L41" s="58">
        <v>1</v>
      </c>
      <c r="M41" s="31">
        <v>6788</v>
      </c>
      <c r="N41" s="34">
        <v>49</v>
      </c>
      <c r="O41" s="33">
        <v>1</v>
      </c>
      <c r="P41" s="31">
        <v>1952</v>
      </c>
      <c r="Q41" s="35">
        <v>20</v>
      </c>
    </row>
    <row r="43" spans="2:17" x14ac:dyDescent="0.3">
      <c r="B43" s="38" t="s">
        <v>29</v>
      </c>
    </row>
    <row r="44" spans="2:17" ht="43.2" x14ac:dyDescent="0.3">
      <c r="B44" s="2" t="s">
        <v>0</v>
      </c>
      <c r="C44" s="23" t="s">
        <v>1</v>
      </c>
      <c r="D44" s="23" t="s">
        <v>16</v>
      </c>
      <c r="E44" s="23" t="s">
        <v>17</v>
      </c>
      <c r="F44" s="24" t="s">
        <v>18</v>
      </c>
      <c r="G44" s="24" t="s">
        <v>2</v>
      </c>
      <c r="H44" s="26" t="s">
        <v>19</v>
      </c>
      <c r="I44" s="26" t="s">
        <v>3</v>
      </c>
      <c r="J44" s="27" t="s">
        <v>20</v>
      </c>
      <c r="K44" s="27" t="s">
        <v>4</v>
      </c>
      <c r="L44" s="25" t="s">
        <v>5</v>
      </c>
      <c r="M44" s="25" t="s">
        <v>6</v>
      </c>
      <c r="N44" s="25" t="s">
        <v>7</v>
      </c>
      <c r="O44" s="28" t="s">
        <v>8</v>
      </c>
      <c r="P44" s="28" t="s">
        <v>9</v>
      </c>
      <c r="Q44" s="28" t="s">
        <v>10</v>
      </c>
    </row>
    <row r="45" spans="2:17" x14ac:dyDescent="0.3">
      <c r="B45" s="21" t="s">
        <v>12</v>
      </c>
      <c r="C45" s="87">
        <v>12957</v>
      </c>
      <c r="D45" s="90">
        <v>6993</v>
      </c>
      <c r="E45" s="90">
        <v>9</v>
      </c>
      <c r="F45" s="92" t="s">
        <v>39</v>
      </c>
      <c r="G45" s="92" t="s">
        <v>39</v>
      </c>
      <c r="H45" s="90">
        <v>6489</v>
      </c>
      <c r="I45" s="90">
        <v>9</v>
      </c>
      <c r="J45" s="49">
        <v>504</v>
      </c>
      <c r="K45" s="49">
        <v>2</v>
      </c>
      <c r="L45" s="49">
        <v>2</v>
      </c>
      <c r="M45" s="5">
        <v>38497</v>
      </c>
      <c r="N45" s="15">
        <v>1231</v>
      </c>
      <c r="O45" s="18" t="s">
        <v>39</v>
      </c>
      <c r="P45" s="18" t="s">
        <v>11</v>
      </c>
      <c r="Q45" s="18" t="s">
        <v>11</v>
      </c>
    </row>
    <row r="46" spans="2:17" x14ac:dyDescent="0.3">
      <c r="B46" s="22" t="s">
        <v>13</v>
      </c>
      <c r="C46" s="88">
        <v>11015</v>
      </c>
      <c r="D46" s="96">
        <v>9122</v>
      </c>
      <c r="E46" s="96">
        <v>8</v>
      </c>
      <c r="F46" s="98">
        <v>0</v>
      </c>
      <c r="G46" s="97">
        <v>0</v>
      </c>
      <c r="H46" s="96">
        <v>689</v>
      </c>
      <c r="I46" s="96">
        <v>11</v>
      </c>
      <c r="J46" s="52">
        <v>8785</v>
      </c>
      <c r="K46" s="52">
        <v>8</v>
      </c>
      <c r="L46" s="16">
        <v>1</v>
      </c>
      <c r="M46" s="8">
        <v>31975</v>
      </c>
      <c r="N46" s="17">
        <v>606</v>
      </c>
      <c r="O46" s="16">
        <v>3</v>
      </c>
      <c r="P46" s="8">
        <v>10104</v>
      </c>
      <c r="Q46" s="17">
        <v>493</v>
      </c>
    </row>
    <row r="47" spans="2:17" x14ac:dyDescent="0.3">
      <c r="B47" s="22" t="s">
        <v>14</v>
      </c>
      <c r="C47" s="88">
        <v>8</v>
      </c>
      <c r="D47" s="96">
        <v>6</v>
      </c>
      <c r="E47" s="96">
        <v>5</v>
      </c>
      <c r="F47" s="98">
        <v>0</v>
      </c>
      <c r="G47" s="97">
        <v>0</v>
      </c>
      <c r="H47" s="96">
        <v>0</v>
      </c>
      <c r="I47" s="96">
        <v>0</v>
      </c>
      <c r="J47" s="52">
        <v>7</v>
      </c>
      <c r="K47" s="52">
        <v>5</v>
      </c>
      <c r="L47" s="16">
        <v>1</v>
      </c>
      <c r="M47" s="8">
        <v>24</v>
      </c>
      <c r="N47" s="17">
        <v>0</v>
      </c>
      <c r="O47" s="16">
        <v>2</v>
      </c>
      <c r="P47" s="8">
        <v>8</v>
      </c>
      <c r="Q47" s="17">
        <v>1</v>
      </c>
    </row>
    <row r="48" spans="2:17" x14ac:dyDescent="0.3">
      <c r="B48" s="29" t="s">
        <v>15</v>
      </c>
      <c r="C48" s="89">
        <v>2766</v>
      </c>
      <c r="D48" s="103">
        <v>1420</v>
      </c>
      <c r="E48" s="103">
        <v>4</v>
      </c>
      <c r="F48" s="105">
        <v>0</v>
      </c>
      <c r="G48" s="104">
        <v>0</v>
      </c>
      <c r="H48" s="103">
        <v>341</v>
      </c>
      <c r="I48" s="103">
        <v>6</v>
      </c>
      <c r="J48" s="58">
        <v>1126</v>
      </c>
      <c r="K48" s="58">
        <v>3</v>
      </c>
      <c r="L48" s="58">
        <v>1</v>
      </c>
      <c r="M48" s="31">
        <v>7842</v>
      </c>
      <c r="N48" s="34">
        <v>99</v>
      </c>
      <c r="O48" s="33">
        <v>1</v>
      </c>
      <c r="P48" s="31">
        <v>2189</v>
      </c>
      <c r="Q48" s="35">
        <v>12</v>
      </c>
    </row>
    <row r="50" spans="1:17" x14ac:dyDescent="0.3">
      <c r="B50" s="38" t="s">
        <v>30</v>
      </c>
    </row>
    <row r="51" spans="1:17" ht="43.2" x14ac:dyDescent="0.3">
      <c r="B51" s="2" t="s">
        <v>0</v>
      </c>
      <c r="C51" s="23" t="s">
        <v>1</v>
      </c>
      <c r="D51" s="23" t="s">
        <v>16</v>
      </c>
      <c r="E51" s="23" t="s">
        <v>17</v>
      </c>
      <c r="F51" s="24" t="s">
        <v>18</v>
      </c>
      <c r="G51" s="24" t="s">
        <v>2</v>
      </c>
      <c r="H51" s="26" t="s">
        <v>19</v>
      </c>
      <c r="I51" s="26" t="s">
        <v>3</v>
      </c>
      <c r="J51" s="27" t="s">
        <v>20</v>
      </c>
      <c r="K51" s="27" t="s">
        <v>4</v>
      </c>
      <c r="L51" s="25" t="s">
        <v>5</v>
      </c>
      <c r="M51" s="25" t="s">
        <v>6</v>
      </c>
      <c r="N51" s="25" t="s">
        <v>7</v>
      </c>
      <c r="O51" s="28" t="s">
        <v>8</v>
      </c>
      <c r="P51" s="28" t="s">
        <v>9</v>
      </c>
      <c r="Q51" s="28" t="s">
        <v>10</v>
      </c>
    </row>
    <row r="52" spans="1:17" x14ac:dyDescent="0.3">
      <c r="B52" s="21" t="s">
        <v>12</v>
      </c>
      <c r="C52" s="87">
        <v>13722</v>
      </c>
      <c r="D52" s="90">
        <v>7474</v>
      </c>
      <c r="E52" s="90">
        <f>ROUNDUP(8.0811,0)</f>
        <v>9</v>
      </c>
      <c r="F52" s="92" t="s">
        <v>39</v>
      </c>
      <c r="G52" s="92" t="s">
        <v>39</v>
      </c>
      <c r="H52" s="90">
        <v>7091</v>
      </c>
      <c r="I52" s="90">
        <f>ROUNDUP(8.4659,0)</f>
        <v>9</v>
      </c>
      <c r="J52" s="49">
        <v>383</v>
      </c>
      <c r="K52" s="49">
        <f>ROUNDUP(0.9573,0)</f>
        <v>1</v>
      </c>
      <c r="L52" s="49">
        <f>ROUNDUP(1.5685,0)</f>
        <v>2</v>
      </c>
      <c r="M52" s="5">
        <v>43012</v>
      </c>
      <c r="N52" s="15">
        <v>1615</v>
      </c>
      <c r="O52" s="18" t="s">
        <v>39</v>
      </c>
      <c r="P52" t="s">
        <v>11</v>
      </c>
      <c r="Q52" t="s">
        <v>11</v>
      </c>
    </row>
    <row r="53" spans="1:17" x14ac:dyDescent="0.3">
      <c r="B53" s="22" t="s">
        <v>13</v>
      </c>
      <c r="C53" s="88">
        <v>10621</v>
      </c>
      <c r="D53" s="96">
        <v>8361</v>
      </c>
      <c r="E53" s="96">
        <f>ROUNDUP(7.3901,0)</f>
        <v>8</v>
      </c>
      <c r="F53" s="98">
        <v>0</v>
      </c>
      <c r="G53" s="97">
        <v>0</v>
      </c>
      <c r="H53" s="96">
        <v>725</v>
      </c>
      <c r="I53" s="96">
        <f>ROUNDUP(11.4413,0)</f>
        <v>12</v>
      </c>
      <c r="J53" s="52">
        <v>8222</v>
      </c>
      <c r="K53" s="52">
        <f>ROUNDUP(6.9619,0)</f>
        <v>7</v>
      </c>
      <c r="L53" s="16">
        <f>ROUNDUP(0.9249,0)</f>
        <v>1</v>
      </c>
      <c r="M53" s="8">
        <v>30751</v>
      </c>
      <c r="N53" s="17">
        <v>851</v>
      </c>
      <c r="O53">
        <f>ROUNDUP(2.3479,0)</f>
        <v>3</v>
      </c>
      <c r="P53" s="108">
        <v>9648</v>
      </c>
      <c r="Q53" s="108">
        <v>1029</v>
      </c>
    </row>
    <row r="54" spans="1:17" x14ac:dyDescent="0.3">
      <c r="B54" s="22" t="s">
        <v>14</v>
      </c>
      <c r="C54" s="88">
        <v>5</v>
      </c>
      <c r="D54" s="96">
        <v>3</v>
      </c>
      <c r="E54" s="96">
        <f>ROUNDUP(5.2293,0)</f>
        <v>6</v>
      </c>
      <c r="F54" s="98">
        <v>0</v>
      </c>
      <c r="G54" s="97">
        <v>0</v>
      </c>
      <c r="H54" s="96">
        <v>0</v>
      </c>
      <c r="I54" s="96">
        <v>0</v>
      </c>
      <c r="J54" s="52">
        <v>6</v>
      </c>
      <c r="K54" s="52">
        <f>ROUNDUP(4.7895,0)</f>
        <v>5</v>
      </c>
      <c r="L54" s="16">
        <f>ROUNDUP(0.7139,0)</f>
        <v>1</v>
      </c>
      <c r="M54" s="8">
        <v>15</v>
      </c>
      <c r="N54" s="17">
        <v>0</v>
      </c>
      <c r="O54">
        <f>ROUNDUP(1.8352,0)</f>
        <v>2</v>
      </c>
      <c r="P54">
        <v>5</v>
      </c>
      <c r="Q54">
        <v>0</v>
      </c>
    </row>
    <row r="55" spans="1:17" x14ac:dyDescent="0.3">
      <c r="B55" s="29" t="s">
        <v>15</v>
      </c>
      <c r="C55" s="89">
        <v>2975</v>
      </c>
      <c r="D55" s="103">
        <v>1594</v>
      </c>
      <c r="E55" s="103">
        <f>ROUNDUP(3.8504,0)</f>
        <v>4</v>
      </c>
      <c r="F55" s="105">
        <v>0</v>
      </c>
      <c r="G55" s="104">
        <v>0</v>
      </c>
      <c r="H55" s="103">
        <v>472</v>
      </c>
      <c r="I55" s="103">
        <f>ROUNDUP(6.5573,0)</f>
        <v>7</v>
      </c>
      <c r="J55" s="58">
        <v>1195</v>
      </c>
      <c r="K55" s="58">
        <f>ROUNDUP(2.6528,0)</f>
        <v>3</v>
      </c>
      <c r="L55" s="58">
        <f>ROUNDUP(0.9452,0)</f>
        <v>1</v>
      </c>
      <c r="M55" s="31">
        <v>8483</v>
      </c>
      <c r="N55" s="34">
        <v>115</v>
      </c>
      <c r="O55">
        <f>ROUNDUP(0.4042,0)</f>
        <v>1</v>
      </c>
      <c r="P55" s="108">
        <v>2355</v>
      </c>
      <c r="Q55">
        <v>21</v>
      </c>
    </row>
    <row r="57" spans="1:17" x14ac:dyDescent="0.3">
      <c r="B57" s="38" t="s">
        <v>31</v>
      </c>
    </row>
    <row r="58" spans="1:17" ht="43.2" x14ac:dyDescent="0.3">
      <c r="B58" s="2" t="s">
        <v>0</v>
      </c>
      <c r="C58" s="23" t="s">
        <v>1</v>
      </c>
      <c r="D58" s="23" t="s">
        <v>16</v>
      </c>
      <c r="E58" s="23" t="s">
        <v>17</v>
      </c>
      <c r="F58" s="24" t="s">
        <v>18</v>
      </c>
      <c r="G58" s="24" t="s">
        <v>2</v>
      </c>
      <c r="H58" s="26" t="s">
        <v>19</v>
      </c>
      <c r="I58" s="26" t="s">
        <v>3</v>
      </c>
      <c r="J58" s="27" t="s">
        <v>20</v>
      </c>
      <c r="K58" s="27" t="s">
        <v>4</v>
      </c>
      <c r="L58" s="25" t="s">
        <v>5</v>
      </c>
      <c r="M58" s="25" t="s">
        <v>6</v>
      </c>
      <c r="N58" s="25" t="s">
        <v>7</v>
      </c>
      <c r="O58" s="28" t="s">
        <v>8</v>
      </c>
      <c r="P58" s="28" t="s">
        <v>9</v>
      </c>
      <c r="Q58" s="28" t="s">
        <v>10</v>
      </c>
    </row>
    <row r="59" spans="1:17" x14ac:dyDescent="0.3">
      <c r="A59" s="86"/>
      <c r="B59" s="21" t="s">
        <v>12</v>
      </c>
      <c r="C59" s="87">
        <v>12709</v>
      </c>
      <c r="D59" s="90">
        <v>6773</v>
      </c>
      <c r="E59" s="90">
        <f>ROUNDUP(7.2992,0)</f>
        <v>8</v>
      </c>
      <c r="F59" s="92" t="s">
        <v>39</v>
      </c>
      <c r="G59" s="92" t="s">
        <v>39</v>
      </c>
      <c r="H59" s="90">
        <v>6564</v>
      </c>
      <c r="I59" s="90">
        <f>ROUNDUP(7.5034,0)</f>
        <v>8</v>
      </c>
      <c r="J59" s="49">
        <v>209</v>
      </c>
      <c r="K59" s="49">
        <f>ROUNDUP(0.888,0)</f>
        <v>1</v>
      </c>
      <c r="L59" s="49">
        <f>ROUNDUP(1.7037,0)</f>
        <v>2</v>
      </c>
      <c r="M59" s="5">
        <v>39201</v>
      </c>
      <c r="N59" s="15">
        <v>1428</v>
      </c>
      <c r="O59" s="18" t="s">
        <v>36</v>
      </c>
      <c r="P59" s="18" t="s">
        <v>11</v>
      </c>
      <c r="Q59" s="18" t="s">
        <v>11</v>
      </c>
    </row>
    <row r="60" spans="1:17" x14ac:dyDescent="0.3">
      <c r="A60" s="86"/>
      <c r="B60" s="22" t="s">
        <v>13</v>
      </c>
      <c r="C60" s="88">
        <v>10136</v>
      </c>
      <c r="D60" s="96">
        <v>7512</v>
      </c>
      <c r="E60" s="96">
        <f>ROUNDUP(6.8477,0)</f>
        <v>7</v>
      </c>
      <c r="F60" s="98">
        <v>0</v>
      </c>
      <c r="G60" s="97">
        <v>0</v>
      </c>
      <c r="H60" s="96">
        <v>717</v>
      </c>
      <c r="I60" s="96">
        <f>ROUNDUP(11.1194,0)</f>
        <v>12</v>
      </c>
      <c r="J60" s="52">
        <v>7427</v>
      </c>
      <c r="K60" s="52">
        <f>ROUNDUP(6.1144,0)</f>
        <v>7</v>
      </c>
      <c r="L60" s="16">
        <f>ROUNDUP(0.8714,0)</f>
        <v>1</v>
      </c>
      <c r="M60" s="8">
        <v>29315</v>
      </c>
      <c r="N60" s="17">
        <v>336</v>
      </c>
      <c r="O60" s="16">
        <f>ROUNDUP(2.0748,0)</f>
        <v>3</v>
      </c>
      <c r="P60" s="8">
        <v>9193</v>
      </c>
      <c r="Q60" s="17">
        <v>51</v>
      </c>
    </row>
    <row r="61" spans="1:17" x14ac:dyDescent="0.3">
      <c r="A61" s="86"/>
      <c r="B61" s="22" t="s">
        <v>14</v>
      </c>
      <c r="C61" s="88">
        <v>6</v>
      </c>
      <c r="D61" s="96">
        <v>10</v>
      </c>
      <c r="E61" s="96">
        <f>ROUNDUP(3.9202,0)</f>
        <v>4</v>
      </c>
      <c r="F61" s="98">
        <v>0</v>
      </c>
      <c r="G61" s="97">
        <v>0</v>
      </c>
      <c r="H61" s="96">
        <v>0</v>
      </c>
      <c r="I61" s="96">
        <v>0</v>
      </c>
      <c r="J61" s="52">
        <v>10</v>
      </c>
      <c r="K61" s="52">
        <f>ROUNDUP(3.9202,0)</f>
        <v>4</v>
      </c>
      <c r="L61" s="16">
        <f>ROUNDUP(0.103,0)</f>
        <v>1</v>
      </c>
      <c r="M61" s="8">
        <v>18</v>
      </c>
      <c r="N61" s="17">
        <v>0</v>
      </c>
      <c r="O61" s="16">
        <f>ROUNDUP(1.0139,0)</f>
        <v>2</v>
      </c>
      <c r="P61" s="8">
        <v>6</v>
      </c>
      <c r="Q61" s="17">
        <v>0</v>
      </c>
    </row>
    <row r="62" spans="1:17" x14ac:dyDescent="0.3">
      <c r="A62" s="86"/>
      <c r="B62" s="29" t="s">
        <v>15</v>
      </c>
      <c r="C62" s="89">
        <v>2701</v>
      </c>
      <c r="D62" s="103">
        <v>1444</v>
      </c>
      <c r="E62" s="103">
        <f>ROUNDUP(4.1125,0)</f>
        <v>5</v>
      </c>
      <c r="F62" s="105">
        <v>0</v>
      </c>
      <c r="G62" s="104">
        <v>0</v>
      </c>
      <c r="H62" s="103">
        <v>450</v>
      </c>
      <c r="I62" s="103">
        <f>ROUNDUP(7.817,0)</f>
        <v>8</v>
      </c>
      <c r="J62" s="58">
        <v>1072</v>
      </c>
      <c r="K62" s="58">
        <f>ROUNDUP(2.3471,0)</f>
        <v>3</v>
      </c>
      <c r="L62" s="58">
        <f>ROUNDUP(1.0253,0)</f>
        <v>2</v>
      </c>
      <c r="M62" s="31">
        <v>7748</v>
      </c>
      <c r="N62" s="34">
        <v>84</v>
      </c>
      <c r="O62" s="33">
        <f>ROUNDUP(0.3791,0)</f>
        <v>1</v>
      </c>
      <c r="P62" s="31">
        <v>2072</v>
      </c>
      <c r="Q62" s="35">
        <v>26</v>
      </c>
    </row>
    <row r="64" spans="1:17" x14ac:dyDescent="0.3">
      <c r="B64" s="38" t="s">
        <v>32</v>
      </c>
    </row>
    <row r="65" spans="1:17" ht="43.2" x14ac:dyDescent="0.3">
      <c r="B65" s="2" t="s">
        <v>0</v>
      </c>
      <c r="C65" s="23" t="s">
        <v>1</v>
      </c>
      <c r="D65" s="23" t="s">
        <v>16</v>
      </c>
      <c r="E65" s="23" t="s">
        <v>17</v>
      </c>
      <c r="F65" s="24" t="s">
        <v>18</v>
      </c>
      <c r="G65" s="24" t="s">
        <v>2</v>
      </c>
      <c r="H65" s="26" t="s">
        <v>19</v>
      </c>
      <c r="I65" s="26" t="s">
        <v>3</v>
      </c>
      <c r="J65" s="27" t="s">
        <v>20</v>
      </c>
      <c r="K65" s="27" t="s">
        <v>4</v>
      </c>
      <c r="L65" s="25" t="s">
        <v>5</v>
      </c>
      <c r="M65" s="25" t="s">
        <v>6</v>
      </c>
      <c r="N65" s="25" t="s">
        <v>7</v>
      </c>
      <c r="O65" s="28" t="s">
        <v>8</v>
      </c>
      <c r="P65" s="28" t="s">
        <v>9</v>
      </c>
      <c r="Q65" s="28" t="s">
        <v>10</v>
      </c>
    </row>
    <row r="66" spans="1:17" x14ac:dyDescent="0.3">
      <c r="A66" s="86"/>
      <c r="B66" s="21" t="s">
        <v>12</v>
      </c>
      <c r="C66" s="108">
        <v>11959</v>
      </c>
      <c r="D66" s="108">
        <v>6862</v>
      </c>
      <c r="E66">
        <f>ROUNDUP(7.8009,0)</f>
        <v>8</v>
      </c>
      <c r="F66" s="92" t="s">
        <v>39</v>
      </c>
      <c r="G66" s="92" t="s">
        <v>39</v>
      </c>
      <c r="H66" s="90">
        <v>6648</v>
      </c>
      <c r="I66" s="90">
        <f>ROUNDUP(8.0193,0)</f>
        <v>9</v>
      </c>
      <c r="J66" s="49">
        <v>214</v>
      </c>
      <c r="K66" s="49">
        <f>ROUNDUP(1.0154,0)</f>
        <v>2</v>
      </c>
      <c r="L66" s="49">
        <f>ROUNDUP(1.4537,0)</f>
        <v>2</v>
      </c>
      <c r="M66" s="5">
        <v>37710</v>
      </c>
      <c r="N66" s="15">
        <v>1118</v>
      </c>
      <c r="O66" t="s">
        <v>36</v>
      </c>
      <c r="P66" t="s">
        <v>11</v>
      </c>
      <c r="Q66" t="s">
        <v>11</v>
      </c>
    </row>
    <row r="67" spans="1:17" x14ac:dyDescent="0.3">
      <c r="A67" s="86"/>
      <c r="B67" s="22" t="s">
        <v>13</v>
      </c>
      <c r="C67" s="108">
        <v>9601</v>
      </c>
      <c r="D67" s="108">
        <v>7354</v>
      </c>
      <c r="E67">
        <f>ROUNDUP(6.2064,0)</f>
        <v>7</v>
      </c>
      <c r="F67" s="98">
        <v>0</v>
      </c>
      <c r="G67" s="97">
        <v>0</v>
      </c>
      <c r="H67" s="96">
        <v>650</v>
      </c>
      <c r="I67" s="96">
        <f>ROUNDUP(10.7445,0)</f>
        <v>11</v>
      </c>
      <c r="J67" s="52">
        <v>7015</v>
      </c>
      <c r="K67" s="52">
        <f>ROUNDUP(5.6432,0)</f>
        <v>6</v>
      </c>
      <c r="L67" s="16">
        <f>ROUNDUP(0.8094,0)</f>
        <v>1</v>
      </c>
      <c r="M67" s="8">
        <v>26708</v>
      </c>
      <c r="N67" s="17">
        <v>279</v>
      </c>
      <c r="O67">
        <f>ROUNDUP(1.9149,0)</f>
        <v>2</v>
      </c>
      <c r="P67" s="108">
        <v>8395</v>
      </c>
      <c r="Q67">
        <v>209</v>
      </c>
    </row>
    <row r="68" spans="1:17" x14ac:dyDescent="0.3">
      <c r="A68" s="86"/>
      <c r="B68" s="22" t="s">
        <v>14</v>
      </c>
      <c r="C68">
        <v>197</v>
      </c>
      <c r="D68">
        <v>197</v>
      </c>
      <c r="E68">
        <f>ROUNDUP(0.8501,0)</f>
        <v>1</v>
      </c>
      <c r="F68" s="98">
        <v>0</v>
      </c>
      <c r="G68" s="97">
        <v>0</v>
      </c>
      <c r="H68" s="96">
        <v>102</v>
      </c>
      <c r="I68" s="96">
        <f>ROUNDUP(0.8656,0)</f>
        <v>1</v>
      </c>
      <c r="J68" s="52">
        <v>95</v>
      </c>
      <c r="K68" s="52">
        <f>ROUNDUP(0.8334,0)</f>
        <v>1</v>
      </c>
      <c r="L68" s="16">
        <f>ROUNDUP(0.2151,0)</f>
        <v>1</v>
      </c>
      <c r="M68" s="8">
        <v>693</v>
      </c>
      <c r="N68" s="17">
        <v>0</v>
      </c>
      <c r="O68">
        <f>ROUNDUP(0.0478,0)</f>
        <v>1</v>
      </c>
      <c r="P68">
        <v>197</v>
      </c>
      <c r="Q68">
        <v>0</v>
      </c>
    </row>
    <row r="69" spans="1:17" x14ac:dyDescent="0.3">
      <c r="A69" s="86"/>
      <c r="B69" s="29" t="s">
        <v>15</v>
      </c>
      <c r="C69" s="108">
        <v>2542</v>
      </c>
      <c r="D69" s="108">
        <v>1387</v>
      </c>
      <c r="E69">
        <f>ROUNDUP(4.2281,0)</f>
        <v>5</v>
      </c>
      <c r="F69" s="105">
        <v>0</v>
      </c>
      <c r="G69" s="104">
        <v>0</v>
      </c>
      <c r="H69" s="103">
        <v>385</v>
      </c>
      <c r="I69" s="103">
        <f>ROUNDUP(7.8224,0)</f>
        <v>8</v>
      </c>
      <c r="J69" s="58">
        <v>1045</v>
      </c>
      <c r="K69" s="58">
        <f>ROUNDUP(2.819,0)</f>
        <v>3</v>
      </c>
      <c r="L69" s="58">
        <f>ROUNDUP(0.9681,0)</f>
        <v>1</v>
      </c>
      <c r="M69" s="31">
        <v>7099</v>
      </c>
      <c r="N69" s="34">
        <v>75</v>
      </c>
      <c r="O69">
        <f>ROUNDUP(0.4031,0)</f>
        <v>1</v>
      </c>
      <c r="P69" s="108">
        <v>1946</v>
      </c>
      <c r="Q69">
        <v>6</v>
      </c>
    </row>
    <row r="71" spans="1:17" x14ac:dyDescent="0.3">
      <c r="B71" s="38" t="s">
        <v>33</v>
      </c>
    </row>
    <row r="72" spans="1:17" ht="43.2" x14ac:dyDescent="0.3">
      <c r="B72" s="2" t="s">
        <v>0</v>
      </c>
      <c r="C72" s="23" t="s">
        <v>1</v>
      </c>
      <c r="D72" s="23" t="s">
        <v>16</v>
      </c>
      <c r="E72" s="23" t="s">
        <v>17</v>
      </c>
      <c r="F72" s="24" t="s">
        <v>18</v>
      </c>
      <c r="G72" s="24" t="s">
        <v>2</v>
      </c>
      <c r="H72" s="26" t="s">
        <v>19</v>
      </c>
      <c r="I72" s="26" t="s">
        <v>3</v>
      </c>
      <c r="J72" s="27" t="s">
        <v>20</v>
      </c>
      <c r="K72" s="27" t="s">
        <v>4</v>
      </c>
      <c r="L72" s="25" t="s">
        <v>5</v>
      </c>
      <c r="M72" s="25" t="s">
        <v>6</v>
      </c>
      <c r="N72" s="25" t="s">
        <v>7</v>
      </c>
      <c r="O72" s="28" t="s">
        <v>8</v>
      </c>
      <c r="P72" s="28" t="s">
        <v>9</v>
      </c>
      <c r="Q72" s="28" t="s">
        <v>10</v>
      </c>
    </row>
    <row r="73" spans="1:17" x14ac:dyDescent="0.3">
      <c r="B73" s="21" t="s">
        <v>12</v>
      </c>
      <c r="C73" s="108">
        <v>13086</v>
      </c>
      <c r="D73" s="108">
        <v>7683</v>
      </c>
      <c r="E73">
        <f>ROUNDUP(6.7363,0)</f>
        <v>7</v>
      </c>
      <c r="F73" s="92" t="s">
        <v>39</v>
      </c>
      <c r="G73" s="92" t="s">
        <v>39</v>
      </c>
      <c r="H73">
        <v>7213</v>
      </c>
      <c r="I73">
        <f>ROUNDUP(7.1042,0)</f>
        <v>8</v>
      </c>
      <c r="J73">
        <v>470</v>
      </c>
      <c r="K73">
        <f>ROUNDUP(1.09,0)</f>
        <v>2</v>
      </c>
      <c r="L73" s="49">
        <f>ROUNDUP(1.6089,0)</f>
        <v>2</v>
      </c>
      <c r="M73" s="5">
        <v>42298</v>
      </c>
      <c r="N73" s="15">
        <v>1249</v>
      </c>
    </row>
    <row r="74" spans="1:17" x14ac:dyDescent="0.3">
      <c r="B74" s="22" t="s">
        <v>13</v>
      </c>
      <c r="C74" s="108">
        <v>10131</v>
      </c>
      <c r="D74" s="108">
        <v>7726</v>
      </c>
      <c r="E74">
        <f>ROUNDUP(7.1645,0)</f>
        <v>8</v>
      </c>
      <c r="F74" s="98">
        <v>0</v>
      </c>
      <c r="G74" s="97">
        <v>0</v>
      </c>
      <c r="H74">
        <v>776</v>
      </c>
      <c r="I74">
        <f>ROUNDUP(10.8638,0)</f>
        <v>11</v>
      </c>
      <c r="J74">
        <v>7368</v>
      </c>
      <c r="K74">
        <f>ROUNDUP(6.5831,0)</f>
        <v>7</v>
      </c>
      <c r="L74" s="16">
        <f>ROUNDUP(0.868,0)</f>
        <v>1</v>
      </c>
      <c r="M74" s="8">
        <v>28878</v>
      </c>
      <c r="N74" s="17">
        <v>352</v>
      </c>
      <c r="O74">
        <f>ROUNDUP(2.1394,0)</f>
        <v>3</v>
      </c>
      <c r="P74" s="108">
        <v>9027</v>
      </c>
      <c r="Q74">
        <v>341</v>
      </c>
    </row>
    <row r="75" spans="1:17" x14ac:dyDescent="0.3">
      <c r="B75" s="22" t="s">
        <v>14</v>
      </c>
      <c r="C75">
        <v>7</v>
      </c>
      <c r="D75">
        <v>4</v>
      </c>
      <c r="E75">
        <f>ROUNDUP(5.2233,0)</f>
        <v>6</v>
      </c>
      <c r="F75" s="98">
        <v>0</v>
      </c>
      <c r="G75" s="97">
        <v>0</v>
      </c>
      <c r="H75">
        <v>0</v>
      </c>
      <c r="I75">
        <f>ROUNDUP(0,0)</f>
        <v>0</v>
      </c>
      <c r="J75">
        <v>4</v>
      </c>
      <c r="K75">
        <f>ROUNDUP(5.2233,0)</f>
        <v>6</v>
      </c>
      <c r="L75" s="16">
        <f>ROUNDUP(0.5836,0)</f>
        <v>1</v>
      </c>
      <c r="M75" s="8">
        <v>16</v>
      </c>
      <c r="N75" s="17">
        <v>0</v>
      </c>
      <c r="O75">
        <f>ROUNDUP(1.7737,0)</f>
        <v>2</v>
      </c>
      <c r="P75">
        <v>5</v>
      </c>
      <c r="Q75">
        <v>0</v>
      </c>
    </row>
    <row r="76" spans="1:17" x14ac:dyDescent="0.3">
      <c r="B76" s="29" t="s">
        <v>15</v>
      </c>
      <c r="C76" s="108">
        <v>2603</v>
      </c>
      <c r="D76" s="108">
        <v>1416</v>
      </c>
      <c r="E76">
        <f>ROUNDUP(4.3335,0)</f>
        <v>5</v>
      </c>
      <c r="F76" s="105">
        <v>0</v>
      </c>
      <c r="G76" s="104">
        <v>0</v>
      </c>
      <c r="H76">
        <v>488</v>
      </c>
      <c r="I76">
        <f>ROUNDUP(6.6926,0)</f>
        <v>7</v>
      </c>
      <c r="J76">
        <v>990</v>
      </c>
      <c r="K76">
        <f>ROUNDUP(3.0167,0)</f>
        <v>4</v>
      </c>
      <c r="L76" s="58">
        <f>ROUNDUP(1.0466,0)</f>
        <v>2</v>
      </c>
      <c r="M76" s="31">
        <v>7537</v>
      </c>
      <c r="N76" s="34">
        <v>69</v>
      </c>
      <c r="O76">
        <f>ROUNDUP(0.3873,0)</f>
        <v>1</v>
      </c>
      <c r="P76" s="108">
        <v>2004</v>
      </c>
      <c r="Q76">
        <v>15</v>
      </c>
    </row>
    <row r="78" spans="1:17" x14ac:dyDescent="0.3">
      <c r="B78" s="38" t="s">
        <v>34</v>
      </c>
    </row>
    <row r="79" spans="1:17" ht="43.2" x14ac:dyDescent="0.3">
      <c r="B79" s="2" t="s">
        <v>0</v>
      </c>
      <c r="C79" s="23" t="s">
        <v>1</v>
      </c>
      <c r="D79" s="23" t="s">
        <v>16</v>
      </c>
      <c r="E79" s="23" t="s">
        <v>17</v>
      </c>
      <c r="F79" s="24" t="s">
        <v>18</v>
      </c>
      <c r="G79" s="24" t="s">
        <v>2</v>
      </c>
      <c r="H79" s="26" t="s">
        <v>19</v>
      </c>
      <c r="I79" s="26" t="s">
        <v>3</v>
      </c>
      <c r="J79" s="27" t="s">
        <v>20</v>
      </c>
      <c r="K79" s="27" t="s">
        <v>4</v>
      </c>
      <c r="L79" s="25" t="s">
        <v>5</v>
      </c>
      <c r="M79" s="25" t="s">
        <v>6</v>
      </c>
      <c r="N79" s="25" t="s">
        <v>7</v>
      </c>
      <c r="O79" s="28" t="s">
        <v>8</v>
      </c>
      <c r="P79" s="28" t="s">
        <v>9</v>
      </c>
      <c r="Q79" s="28" t="s">
        <v>10</v>
      </c>
    </row>
    <row r="80" spans="1:17" x14ac:dyDescent="0.3">
      <c r="B80" s="21" t="s">
        <v>12</v>
      </c>
      <c r="C80" s="108">
        <v>11670</v>
      </c>
      <c r="D80" s="108">
        <v>6896</v>
      </c>
      <c r="E80" s="108">
        <v>8</v>
      </c>
      <c r="F80" s="92" t="s">
        <v>39</v>
      </c>
      <c r="G80" s="92" t="s">
        <v>39</v>
      </c>
      <c r="H80" s="108">
        <v>6557</v>
      </c>
      <c r="I80" s="108">
        <v>8</v>
      </c>
      <c r="J80" s="108">
        <v>339</v>
      </c>
      <c r="K80" s="108">
        <v>2</v>
      </c>
      <c r="L80" s="72">
        <v>2</v>
      </c>
      <c r="M80" s="60">
        <v>37998</v>
      </c>
      <c r="N80" s="63">
        <v>1315</v>
      </c>
      <c r="O80" s="108"/>
      <c r="P80" s="108" t="s">
        <v>11</v>
      </c>
      <c r="Q80" s="108" t="s">
        <v>11</v>
      </c>
    </row>
    <row r="81" spans="2:17" x14ac:dyDescent="0.3">
      <c r="B81" s="22" t="s">
        <v>13</v>
      </c>
      <c r="C81" s="108">
        <v>10056</v>
      </c>
      <c r="D81" s="108">
        <v>7147</v>
      </c>
      <c r="E81" s="108">
        <v>7</v>
      </c>
      <c r="F81" s="98">
        <v>0</v>
      </c>
      <c r="G81" s="97">
        <v>0</v>
      </c>
      <c r="H81" s="108">
        <v>666</v>
      </c>
      <c r="I81" s="108">
        <v>11</v>
      </c>
      <c r="J81" s="108">
        <v>7145</v>
      </c>
      <c r="K81" s="108">
        <v>6</v>
      </c>
      <c r="L81" s="65">
        <v>1</v>
      </c>
      <c r="M81" s="67">
        <v>28667</v>
      </c>
      <c r="N81" s="66">
        <v>266</v>
      </c>
      <c r="O81" s="108">
        <v>2</v>
      </c>
      <c r="P81" s="108">
        <v>8867</v>
      </c>
      <c r="Q81" s="108">
        <v>21</v>
      </c>
    </row>
    <row r="82" spans="2:17" x14ac:dyDescent="0.3">
      <c r="B82" s="22" t="s">
        <v>14</v>
      </c>
      <c r="C82" s="108">
        <v>9</v>
      </c>
      <c r="D82" s="108">
        <v>9</v>
      </c>
      <c r="E82" s="108">
        <v>4</v>
      </c>
      <c r="F82" s="98">
        <v>0</v>
      </c>
      <c r="G82" s="97">
        <v>0</v>
      </c>
      <c r="H82" s="108">
        <v>0</v>
      </c>
      <c r="I82" s="108">
        <v>0</v>
      </c>
      <c r="J82" s="108">
        <v>9</v>
      </c>
      <c r="K82" s="108">
        <v>4</v>
      </c>
      <c r="L82" s="65">
        <v>1</v>
      </c>
      <c r="M82" s="67">
        <v>24</v>
      </c>
      <c r="N82" s="66">
        <v>0</v>
      </c>
      <c r="O82" s="108">
        <v>2</v>
      </c>
      <c r="P82" s="108">
        <v>8</v>
      </c>
      <c r="Q82" s="108">
        <v>0</v>
      </c>
    </row>
    <row r="83" spans="2:17" x14ac:dyDescent="0.3">
      <c r="B83" s="29" t="s">
        <v>15</v>
      </c>
      <c r="C83" s="113">
        <v>2577</v>
      </c>
      <c r="D83" s="108">
        <v>1319</v>
      </c>
      <c r="E83" s="108">
        <v>5</v>
      </c>
      <c r="F83" s="105">
        <v>0</v>
      </c>
      <c r="G83" s="104">
        <v>0</v>
      </c>
      <c r="H83" s="108">
        <v>417</v>
      </c>
      <c r="I83" s="108">
        <v>7</v>
      </c>
      <c r="J83" s="108">
        <v>997</v>
      </c>
      <c r="K83" s="108">
        <v>3</v>
      </c>
      <c r="L83" s="58">
        <v>1</v>
      </c>
      <c r="M83" s="31">
        <v>7480</v>
      </c>
      <c r="N83" s="34">
        <v>63</v>
      </c>
      <c r="O83" s="108">
        <v>1</v>
      </c>
      <c r="P83" s="108">
        <v>1968</v>
      </c>
      <c r="Q83" s="108">
        <v>17</v>
      </c>
    </row>
    <row r="85" spans="2:17" x14ac:dyDescent="0.3">
      <c r="B85" s="38" t="s">
        <v>35</v>
      </c>
    </row>
    <row r="86" spans="2:17" ht="43.2" x14ac:dyDescent="0.3">
      <c r="B86" s="2" t="s">
        <v>0</v>
      </c>
      <c r="C86" s="23" t="s">
        <v>1</v>
      </c>
      <c r="D86" s="23" t="s">
        <v>16</v>
      </c>
      <c r="E86" s="23" t="s">
        <v>17</v>
      </c>
      <c r="F86" s="24" t="s">
        <v>18</v>
      </c>
      <c r="G86" s="24" t="s">
        <v>2</v>
      </c>
      <c r="H86" s="26" t="s">
        <v>19</v>
      </c>
      <c r="I86" s="26" t="s">
        <v>3</v>
      </c>
      <c r="J86" s="27" t="s">
        <v>20</v>
      </c>
      <c r="K86" s="27" t="s">
        <v>4</v>
      </c>
      <c r="L86" s="25" t="s">
        <v>5</v>
      </c>
      <c r="M86" s="25" t="s">
        <v>6</v>
      </c>
      <c r="N86" s="25" t="s">
        <v>7</v>
      </c>
      <c r="O86" s="28" t="s">
        <v>8</v>
      </c>
      <c r="P86" s="28" t="s">
        <v>9</v>
      </c>
      <c r="Q86" s="28" t="s">
        <v>10</v>
      </c>
    </row>
    <row r="87" spans="2:17" x14ac:dyDescent="0.3">
      <c r="B87" s="21" t="s">
        <v>12</v>
      </c>
      <c r="C87" s="108">
        <v>11371</v>
      </c>
      <c r="D87" s="108">
        <v>6485</v>
      </c>
      <c r="E87" s="108">
        <v>7</v>
      </c>
      <c r="F87" s="110" t="s">
        <v>39</v>
      </c>
      <c r="G87" s="110" t="s">
        <v>39</v>
      </c>
      <c r="H87" s="116">
        <v>5955</v>
      </c>
      <c r="I87" s="116">
        <v>7</v>
      </c>
      <c r="J87" s="72">
        <v>530</v>
      </c>
      <c r="K87" s="72">
        <v>2</v>
      </c>
      <c r="L87" s="72">
        <v>2</v>
      </c>
      <c r="M87" s="60">
        <v>36596</v>
      </c>
      <c r="N87" s="63">
        <v>1664</v>
      </c>
      <c r="O87" s="108"/>
      <c r="P87" s="108" t="s">
        <v>11</v>
      </c>
      <c r="Q87" s="108" t="s">
        <v>11</v>
      </c>
    </row>
    <row r="88" spans="2:17" x14ac:dyDescent="0.3">
      <c r="B88" s="22" t="s">
        <v>13</v>
      </c>
      <c r="C88" s="108">
        <v>10797</v>
      </c>
      <c r="D88" s="108">
        <v>8424</v>
      </c>
      <c r="E88" s="108">
        <v>7</v>
      </c>
      <c r="F88" s="111">
        <v>0</v>
      </c>
      <c r="G88" s="112">
        <v>0</v>
      </c>
      <c r="H88" s="117">
        <v>618</v>
      </c>
      <c r="I88" s="117">
        <v>11</v>
      </c>
      <c r="J88" s="75">
        <v>8306</v>
      </c>
      <c r="K88" s="75">
        <v>6</v>
      </c>
      <c r="L88" s="65">
        <v>1</v>
      </c>
      <c r="M88" s="67">
        <v>29890</v>
      </c>
      <c r="N88" s="66">
        <v>428</v>
      </c>
      <c r="O88" s="108">
        <v>3</v>
      </c>
      <c r="P88" s="108">
        <v>9486</v>
      </c>
      <c r="Q88" s="108">
        <v>369</v>
      </c>
    </row>
    <row r="89" spans="2:17" x14ac:dyDescent="0.3">
      <c r="B89" s="22" t="s">
        <v>14</v>
      </c>
      <c r="C89" s="108">
        <v>3</v>
      </c>
      <c r="D89" s="108">
        <v>2</v>
      </c>
      <c r="E89" s="108">
        <v>3</v>
      </c>
      <c r="F89" s="111">
        <v>0</v>
      </c>
      <c r="G89" s="112">
        <v>0</v>
      </c>
      <c r="H89" s="117">
        <v>0</v>
      </c>
      <c r="I89" s="117">
        <v>0</v>
      </c>
      <c r="J89" s="75">
        <v>2</v>
      </c>
      <c r="K89" s="75">
        <v>3</v>
      </c>
      <c r="L89" s="65">
        <v>1</v>
      </c>
      <c r="M89" s="67">
        <v>6</v>
      </c>
      <c r="N89" s="66">
        <v>0</v>
      </c>
      <c r="O89" s="108">
        <v>2</v>
      </c>
      <c r="P89" s="108">
        <v>2</v>
      </c>
      <c r="Q89" s="108">
        <v>0</v>
      </c>
    </row>
    <row r="90" spans="2:17" x14ac:dyDescent="0.3">
      <c r="B90" s="29" t="s">
        <v>15</v>
      </c>
      <c r="C90" s="108">
        <v>2628</v>
      </c>
      <c r="D90" s="108">
        <v>1301</v>
      </c>
      <c r="E90" s="108">
        <v>4</v>
      </c>
      <c r="F90" s="114">
        <v>0</v>
      </c>
      <c r="G90" s="115">
        <v>0</v>
      </c>
      <c r="H90" s="118">
        <v>336</v>
      </c>
      <c r="I90" s="118">
        <v>8</v>
      </c>
      <c r="J90" s="58">
        <v>1121</v>
      </c>
      <c r="K90" s="58">
        <v>3</v>
      </c>
      <c r="L90" s="58">
        <v>2</v>
      </c>
      <c r="M90" s="31">
        <v>7263</v>
      </c>
      <c r="N90" s="34">
        <v>101</v>
      </c>
      <c r="O90" s="108">
        <v>1</v>
      </c>
      <c r="P90" s="108">
        <v>2013</v>
      </c>
      <c r="Q90" s="108">
        <v>28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1A4EF-98D5-4227-99D5-0039DD2A3959}">
  <dimension ref="A1:P5"/>
  <sheetViews>
    <sheetView showGridLines="0" workbookViewId="0">
      <selection activeCell="E29" sqref="E29"/>
    </sheetView>
  </sheetViews>
  <sheetFormatPr defaultRowHeight="14.4" x14ac:dyDescent="0.3"/>
  <cols>
    <col min="1" max="1" width="25.77734375" bestFit="1" customWidth="1"/>
    <col min="2" max="16" width="16.44140625" customWidth="1"/>
  </cols>
  <sheetData>
    <row r="1" spans="1:16" ht="61.2" customHeight="1" x14ac:dyDescent="0.3">
      <c r="A1" s="2" t="s">
        <v>0</v>
      </c>
      <c r="B1" s="23" t="s">
        <v>1</v>
      </c>
      <c r="C1" s="23" t="s">
        <v>16</v>
      </c>
      <c r="D1" s="23" t="s">
        <v>17</v>
      </c>
      <c r="E1" s="24" t="s">
        <v>18</v>
      </c>
      <c r="F1" s="24" t="s">
        <v>2</v>
      </c>
      <c r="G1" s="26" t="s">
        <v>19</v>
      </c>
      <c r="H1" s="26" t="s">
        <v>3</v>
      </c>
      <c r="I1" s="27" t="s">
        <v>20</v>
      </c>
      <c r="J1" s="27" t="s">
        <v>4</v>
      </c>
      <c r="K1" s="25" t="s">
        <v>5</v>
      </c>
      <c r="L1" s="25" t="s">
        <v>6</v>
      </c>
      <c r="M1" s="25" t="s">
        <v>7</v>
      </c>
      <c r="N1" s="28" t="s">
        <v>8</v>
      </c>
      <c r="O1" s="28" t="s">
        <v>9</v>
      </c>
      <c r="P1" s="28" t="s">
        <v>10</v>
      </c>
    </row>
    <row r="2" spans="1:16" x14ac:dyDescent="0.3">
      <c r="A2" s="21" t="s">
        <v>12</v>
      </c>
      <c r="B2" s="108" t="str">
        <f>FICHEIRO_DADOS_M!$E$2</f>
        <v>11 371</v>
      </c>
      <c r="C2" s="108" t="str">
        <f>FICHEIRO_DADOS_M!F2</f>
        <v xml:space="preserve"> 6 485</v>
      </c>
      <c r="D2">
        <f>ROUNDUP(FICHEIRO_DADOS_M!G2,0)</f>
        <v>7</v>
      </c>
      <c r="E2" s="92" t="s">
        <v>39</v>
      </c>
      <c r="F2" s="92" t="s">
        <v>39</v>
      </c>
      <c r="G2" t="str">
        <f>FICHEIRO_DADOS_M!K2</f>
        <v>5 955</v>
      </c>
      <c r="H2">
        <f>ROUNDUP(FICHEIRO_DADOS_M!L2,0)</f>
        <v>7</v>
      </c>
      <c r="I2">
        <f>FICHEIRO_DADOS_M!M2</f>
        <v>530</v>
      </c>
      <c r="J2">
        <f>ROUNDUP(FICHEIRO_DADOS_M!N2,0)</f>
        <v>2</v>
      </c>
      <c r="K2">
        <f>ROUNDUP(FICHEIRO_DADOS_M!X2,)</f>
        <v>2</v>
      </c>
      <c r="L2" s="108" t="str">
        <f>FICHEIRO_DADOS_M!Y2</f>
        <v xml:space="preserve"> 36 596</v>
      </c>
      <c r="M2" s="108" t="str">
        <f>FICHEIRO_DADOS_M!Z2</f>
        <v xml:space="preserve"> 1 664</v>
      </c>
      <c r="O2" t="str">
        <f>FICHEIRO_DADOS_M!AB2</f>
        <v xml:space="preserve"> </v>
      </c>
      <c r="P2" t="str">
        <f>FICHEIRO_DADOS_M!AC2</f>
        <v xml:space="preserve"> </v>
      </c>
    </row>
    <row r="3" spans="1:16" x14ac:dyDescent="0.3">
      <c r="A3" s="22" t="s">
        <v>13</v>
      </c>
      <c r="B3" s="108" t="str">
        <f>FICHEIRO_DADOS_M!E3</f>
        <v>10 797</v>
      </c>
      <c r="C3" s="108" t="str">
        <f>FICHEIRO_DADOS_M!F3</f>
        <v xml:space="preserve"> 8 424</v>
      </c>
      <c r="D3">
        <f>ROUNDUP(FICHEIRO_DADOS_M!G3,0)</f>
        <v>7</v>
      </c>
      <c r="E3" s="98">
        <v>0</v>
      </c>
      <c r="F3" s="97">
        <v>0</v>
      </c>
      <c r="G3">
        <f>FICHEIRO_DADOS_M!K3</f>
        <v>618</v>
      </c>
      <c r="H3">
        <f>ROUNDUP(FICHEIRO_DADOS_M!L3,0)</f>
        <v>11</v>
      </c>
      <c r="I3" t="str">
        <f>FICHEIRO_DADOS_M!M3</f>
        <v xml:space="preserve"> 8 306</v>
      </c>
      <c r="J3">
        <f>ROUNDUP(FICHEIRO_DADOS_M!N3,0)</f>
        <v>6</v>
      </c>
      <c r="K3">
        <f>ROUNDUP(FICHEIRO_DADOS_M!X3,)</f>
        <v>1</v>
      </c>
      <c r="L3" s="108" t="str">
        <f>FICHEIRO_DADOS_M!Y3</f>
        <v xml:space="preserve"> 29 890</v>
      </c>
      <c r="M3" s="108">
        <f>FICHEIRO_DADOS_M!Z3</f>
        <v>428</v>
      </c>
      <c r="N3">
        <f>ROUNDUP(FICHEIRO_DADOS_M!AA3,0)</f>
        <v>3</v>
      </c>
      <c r="O3" t="str">
        <f>FICHEIRO_DADOS_M!AB3</f>
        <v xml:space="preserve"> 9 486</v>
      </c>
      <c r="P3">
        <f>FICHEIRO_DADOS_M!AC3</f>
        <v>369</v>
      </c>
    </row>
    <row r="4" spans="1:16" x14ac:dyDescent="0.3">
      <c r="A4" s="22" t="s">
        <v>14</v>
      </c>
      <c r="B4" s="108">
        <f>FICHEIRO_DADOS_M!E4</f>
        <v>3</v>
      </c>
      <c r="C4" s="108">
        <f>FICHEIRO_DADOS_M!F4</f>
        <v>2</v>
      </c>
      <c r="D4">
        <f>ROUNDUP(FICHEIRO_DADOS_M!G4,0)</f>
        <v>3</v>
      </c>
      <c r="E4" s="98">
        <v>0</v>
      </c>
      <c r="F4" s="97">
        <v>0</v>
      </c>
      <c r="G4">
        <f>FICHEIRO_DADOS_M!K4</f>
        <v>0</v>
      </c>
      <c r="H4">
        <f>ROUNDUP(FICHEIRO_DADOS_M!L4,0)</f>
        <v>0</v>
      </c>
      <c r="I4">
        <f>FICHEIRO_DADOS_M!M4</f>
        <v>2</v>
      </c>
      <c r="J4">
        <f>ROUNDUP(FICHEIRO_DADOS_M!N4,0)</f>
        <v>3</v>
      </c>
      <c r="K4">
        <f>ROUNDUP(FICHEIRO_DADOS_M!X4,)</f>
        <v>1</v>
      </c>
      <c r="L4" s="108">
        <f>FICHEIRO_DADOS_M!Y4</f>
        <v>6</v>
      </c>
      <c r="M4" s="108">
        <f>FICHEIRO_DADOS_M!Z4</f>
        <v>0</v>
      </c>
      <c r="N4">
        <f>ROUNDUP(FICHEIRO_DADOS_M!AA4,0)</f>
        <v>2</v>
      </c>
      <c r="O4">
        <f>FICHEIRO_DADOS_M!AB4</f>
        <v>2</v>
      </c>
      <c r="P4">
        <f>FICHEIRO_DADOS_M!AC4</f>
        <v>0</v>
      </c>
    </row>
    <row r="5" spans="1:16" x14ac:dyDescent="0.3">
      <c r="A5" s="29" t="s">
        <v>15</v>
      </c>
      <c r="B5" s="108" t="str">
        <f>FICHEIRO_DADOS_M!E5</f>
        <v>2 628</v>
      </c>
      <c r="C5" s="108" t="str">
        <f>FICHEIRO_DADOS_M!F5</f>
        <v xml:space="preserve"> 1 301</v>
      </c>
      <c r="D5">
        <f>ROUNDUP(FICHEIRO_DADOS_M!G5,0)</f>
        <v>4</v>
      </c>
      <c r="E5" s="105">
        <v>0</v>
      </c>
      <c r="F5" s="104">
        <v>0</v>
      </c>
      <c r="G5">
        <f>FICHEIRO_DADOS_M!K5</f>
        <v>336</v>
      </c>
      <c r="H5">
        <f>ROUNDUP(FICHEIRO_DADOS_M!L5,0)</f>
        <v>8</v>
      </c>
      <c r="I5" t="str">
        <f>FICHEIRO_DADOS_M!M5</f>
        <v xml:space="preserve"> 1 121</v>
      </c>
      <c r="J5">
        <f>ROUNDUP(FICHEIRO_DADOS_M!N5,0)</f>
        <v>3</v>
      </c>
      <c r="K5">
        <f>ROUNDUP(FICHEIRO_DADOS_M!X5,)</f>
        <v>2</v>
      </c>
      <c r="L5" s="108" t="str">
        <f>FICHEIRO_DADOS_M!Y5</f>
        <v xml:space="preserve"> 7 263</v>
      </c>
      <c r="M5" s="108">
        <f>FICHEIRO_DADOS_M!Z5</f>
        <v>101</v>
      </c>
      <c r="N5">
        <f>ROUNDUP(FICHEIRO_DADOS_M!AA5,0)</f>
        <v>1</v>
      </c>
      <c r="O5" t="str">
        <f>FICHEIRO_DADOS_M!AB5</f>
        <v xml:space="preserve"> 2 013</v>
      </c>
      <c r="P5">
        <f>FICHEIRO_DADOS_M!AC5</f>
        <v>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1CFDF-02CC-46D1-ADE1-A0DA72BF86A2}">
  <dimension ref="A1:AC5"/>
  <sheetViews>
    <sheetView showGridLines="0" topLeftCell="N1" zoomScale="70" zoomScaleNormal="70" workbookViewId="0">
      <selection activeCell="W42" sqref="W42"/>
    </sheetView>
  </sheetViews>
  <sheetFormatPr defaultRowHeight="14.4" x14ac:dyDescent="0.3"/>
  <cols>
    <col min="1" max="1" width="7.33203125" bestFit="1" customWidth="1"/>
    <col min="2" max="2" width="6" bestFit="1" customWidth="1"/>
    <col min="3" max="3" width="10.88671875" bestFit="1" customWidth="1"/>
    <col min="4" max="4" width="25.77734375" bestFit="1" customWidth="1"/>
    <col min="5" max="5" width="11.21875" bestFit="1" customWidth="1"/>
    <col min="6" max="6" width="13.77734375" bestFit="1" customWidth="1"/>
    <col min="7" max="7" width="21.109375" bestFit="1" customWidth="1"/>
    <col min="8" max="8" width="30.6640625" bestFit="1" customWidth="1"/>
    <col min="9" max="9" width="27.33203125" bestFit="1" customWidth="1"/>
    <col min="10" max="10" width="34.77734375" bestFit="1" customWidth="1"/>
    <col min="11" max="11" width="20.88671875" bestFit="1" customWidth="1"/>
    <col min="12" max="12" width="28.33203125" bestFit="1" customWidth="1"/>
    <col min="13" max="13" width="20.6640625" bestFit="1" customWidth="1"/>
    <col min="14" max="14" width="28.109375" bestFit="1" customWidth="1"/>
    <col min="15" max="15" width="16.5546875" bestFit="1" customWidth="1"/>
    <col min="16" max="16" width="21.33203125" bestFit="1" customWidth="1"/>
    <col min="17" max="17" width="33.44140625" bestFit="1" customWidth="1"/>
    <col min="18" max="18" width="28.5546875" bestFit="1" customWidth="1"/>
    <col min="19" max="19" width="24.44140625" bestFit="1" customWidth="1"/>
    <col min="20" max="20" width="23" bestFit="1" customWidth="1"/>
    <col min="21" max="21" width="26.109375" bestFit="1" customWidth="1"/>
    <col min="22" max="22" width="22" bestFit="1" customWidth="1"/>
    <col min="23" max="23" width="20.44140625" bestFit="1" customWidth="1"/>
    <col min="24" max="24" width="25.5546875" bestFit="1" customWidth="1"/>
    <col min="25" max="25" width="21.44140625" bestFit="1" customWidth="1"/>
    <col min="26" max="26" width="19.88671875" bestFit="1" customWidth="1"/>
    <col min="27" max="27" width="30.88671875" bestFit="1" customWidth="1"/>
    <col min="28" max="28" width="26.77734375" bestFit="1" customWidth="1"/>
    <col min="29" max="29" width="25.21875" bestFit="1" customWidth="1"/>
  </cols>
  <sheetData>
    <row r="1" spans="1:29" x14ac:dyDescent="0.3">
      <c r="A1" s="109" t="s">
        <v>40</v>
      </c>
      <c r="B1" s="109" t="s">
        <v>41</v>
      </c>
      <c r="C1" s="109" t="s">
        <v>42</v>
      </c>
      <c r="D1" s="109" t="s">
        <v>0</v>
      </c>
      <c r="E1" s="109" t="s">
        <v>1</v>
      </c>
      <c r="F1" s="109" t="s">
        <v>43</v>
      </c>
      <c r="G1" s="109" t="s">
        <v>44</v>
      </c>
      <c r="H1" s="109" t="s">
        <v>45</v>
      </c>
      <c r="I1" s="109" t="s">
        <v>46</v>
      </c>
      <c r="J1" s="109" t="s">
        <v>2</v>
      </c>
      <c r="K1" s="109" t="s">
        <v>47</v>
      </c>
      <c r="L1" s="109" t="s">
        <v>3</v>
      </c>
      <c r="M1" s="109" t="s">
        <v>48</v>
      </c>
      <c r="N1" s="109" t="s">
        <v>4</v>
      </c>
      <c r="O1" s="109" t="s">
        <v>49</v>
      </c>
      <c r="P1" s="109" t="s">
        <v>50</v>
      </c>
      <c r="Q1" s="109" t="s">
        <v>51</v>
      </c>
      <c r="R1" s="109" t="s">
        <v>52</v>
      </c>
      <c r="S1" s="109" t="s">
        <v>53</v>
      </c>
      <c r="T1" s="109" t="s">
        <v>54</v>
      </c>
      <c r="U1" s="109" t="s">
        <v>55</v>
      </c>
      <c r="V1" s="109" t="s">
        <v>56</v>
      </c>
      <c r="W1" s="109" t="s">
        <v>57</v>
      </c>
      <c r="X1" s="109" t="s">
        <v>5</v>
      </c>
      <c r="Y1" s="109" t="s">
        <v>6</v>
      </c>
      <c r="Z1" s="109" t="s">
        <v>7</v>
      </c>
      <c r="AA1" s="109" t="s">
        <v>8</v>
      </c>
      <c r="AB1" s="109" t="s">
        <v>9</v>
      </c>
      <c r="AC1" s="109" t="s">
        <v>10</v>
      </c>
    </row>
    <row r="2" spans="1:29" x14ac:dyDescent="0.3">
      <c r="A2" s="109" t="s">
        <v>58</v>
      </c>
      <c r="B2" s="109" t="s">
        <v>58</v>
      </c>
      <c r="C2" s="109" t="s">
        <v>58</v>
      </c>
      <c r="D2" s="109" t="s">
        <v>59</v>
      </c>
      <c r="E2" s="109" t="s">
        <v>60</v>
      </c>
      <c r="F2" s="109" t="s">
        <v>61</v>
      </c>
      <c r="G2" s="109">
        <v>6.4489000000000001</v>
      </c>
      <c r="H2" s="109">
        <v>9.42</v>
      </c>
      <c r="I2" s="109" t="s">
        <v>36</v>
      </c>
      <c r="J2" s="109" t="s">
        <v>11</v>
      </c>
      <c r="K2" s="109" t="s">
        <v>62</v>
      </c>
      <c r="L2" s="109">
        <v>6.9309000000000003</v>
      </c>
      <c r="M2" s="109">
        <v>530</v>
      </c>
      <c r="N2" s="109">
        <v>1.0331999999999999</v>
      </c>
      <c r="O2" s="109" t="s">
        <v>63</v>
      </c>
      <c r="P2" s="109">
        <v>8.1304999999999996</v>
      </c>
      <c r="Q2" s="109">
        <v>6.95</v>
      </c>
      <c r="R2" s="109">
        <v>0</v>
      </c>
      <c r="S2" s="109" t="s">
        <v>64</v>
      </c>
      <c r="T2" s="109">
        <v>0</v>
      </c>
      <c r="U2" s="109">
        <v>0</v>
      </c>
      <c r="V2" s="109" t="s">
        <v>65</v>
      </c>
      <c r="W2" s="109" t="s">
        <v>66</v>
      </c>
      <c r="X2" s="109">
        <v>1.8515999999999999</v>
      </c>
      <c r="Y2" s="109" t="s">
        <v>67</v>
      </c>
      <c r="Z2" s="109" t="s">
        <v>68</v>
      </c>
      <c r="AA2" s="109" t="s">
        <v>36</v>
      </c>
      <c r="AB2" s="109" t="s">
        <v>11</v>
      </c>
      <c r="AC2" s="109" t="s">
        <v>11</v>
      </c>
    </row>
    <row r="3" spans="1:29" x14ac:dyDescent="0.3">
      <c r="A3" s="109" t="s">
        <v>58</v>
      </c>
      <c r="B3" s="109" t="s">
        <v>58</v>
      </c>
      <c r="C3" s="109" t="s">
        <v>58</v>
      </c>
      <c r="D3" s="109" t="s">
        <v>13</v>
      </c>
      <c r="E3" s="109" t="s">
        <v>69</v>
      </c>
      <c r="F3" s="109" t="s">
        <v>70</v>
      </c>
      <c r="G3" s="109">
        <v>6.3902000000000001</v>
      </c>
      <c r="H3" s="109">
        <v>9.23</v>
      </c>
      <c r="I3" s="109">
        <v>0</v>
      </c>
      <c r="J3" s="109">
        <v>0</v>
      </c>
      <c r="K3" s="109">
        <v>618</v>
      </c>
      <c r="L3" s="109">
        <v>10.290100000000001</v>
      </c>
      <c r="M3" s="109" t="s">
        <v>71</v>
      </c>
      <c r="N3" s="109">
        <v>5.9779</v>
      </c>
      <c r="O3" s="109" t="s">
        <v>72</v>
      </c>
      <c r="P3" s="109">
        <v>4.2919999999999998</v>
      </c>
      <c r="Q3" s="109">
        <v>5.85</v>
      </c>
      <c r="R3" s="109">
        <v>0</v>
      </c>
      <c r="S3" s="109" t="s">
        <v>73</v>
      </c>
      <c r="T3" s="109">
        <v>0</v>
      </c>
      <c r="U3" s="109">
        <v>0.48170000000000002</v>
      </c>
      <c r="V3" s="109" t="s">
        <v>74</v>
      </c>
      <c r="W3" s="109">
        <v>429</v>
      </c>
      <c r="X3" s="109">
        <v>0.87780000000000002</v>
      </c>
      <c r="Y3" s="109" t="s">
        <v>75</v>
      </c>
      <c r="Z3" s="109">
        <v>428</v>
      </c>
      <c r="AA3" s="109">
        <v>2.0920999999999998</v>
      </c>
      <c r="AB3" s="109" t="s">
        <v>76</v>
      </c>
      <c r="AC3" s="109">
        <v>369</v>
      </c>
    </row>
    <row r="4" spans="1:29" x14ac:dyDescent="0.3">
      <c r="A4" s="109" t="s">
        <v>58</v>
      </c>
      <c r="B4" s="109" t="s">
        <v>58</v>
      </c>
      <c r="C4" s="109" t="s">
        <v>58</v>
      </c>
      <c r="D4" s="109" t="s">
        <v>14</v>
      </c>
      <c r="E4" s="109">
        <v>3</v>
      </c>
      <c r="F4" s="109">
        <v>2</v>
      </c>
      <c r="G4" s="109">
        <v>2.9447000000000001</v>
      </c>
      <c r="H4" s="109">
        <v>9</v>
      </c>
      <c r="I4" s="109">
        <v>0</v>
      </c>
      <c r="J4" s="109">
        <v>0</v>
      </c>
      <c r="K4" s="109">
        <v>0</v>
      </c>
      <c r="L4" s="109">
        <v>0</v>
      </c>
      <c r="M4" s="109">
        <v>2</v>
      </c>
      <c r="N4" s="109">
        <v>2.9447000000000001</v>
      </c>
      <c r="O4" s="109">
        <v>1</v>
      </c>
      <c r="P4" s="109">
        <v>0</v>
      </c>
      <c r="Q4" s="109">
        <v>2</v>
      </c>
      <c r="R4" s="109">
        <v>0</v>
      </c>
      <c r="S4" s="109">
        <v>3</v>
      </c>
      <c r="T4" s="109">
        <v>0</v>
      </c>
      <c r="U4" s="109">
        <v>0.24210000000000001</v>
      </c>
      <c r="V4" s="109">
        <v>9</v>
      </c>
      <c r="W4" s="109">
        <v>0</v>
      </c>
      <c r="X4" s="109">
        <v>0.21529999999999999</v>
      </c>
      <c r="Y4" s="109">
        <v>6</v>
      </c>
      <c r="Z4" s="109">
        <v>0</v>
      </c>
      <c r="AA4" s="109">
        <v>1.2092000000000001</v>
      </c>
      <c r="AB4" s="109">
        <v>2</v>
      </c>
      <c r="AC4" s="109">
        <v>0</v>
      </c>
    </row>
    <row r="5" spans="1:29" x14ac:dyDescent="0.3">
      <c r="A5" s="109" t="s">
        <v>58</v>
      </c>
      <c r="B5" s="109" t="s">
        <v>58</v>
      </c>
      <c r="C5" s="109" t="s">
        <v>58</v>
      </c>
      <c r="D5" s="109" t="s">
        <v>15</v>
      </c>
      <c r="E5" s="109" t="s">
        <v>77</v>
      </c>
      <c r="F5" s="109" t="s">
        <v>78</v>
      </c>
      <c r="G5" s="109">
        <v>3.9150999999999998</v>
      </c>
      <c r="H5" s="109">
        <v>9.8699999999999992</v>
      </c>
      <c r="I5" s="109">
        <v>0</v>
      </c>
      <c r="J5" s="109">
        <v>0</v>
      </c>
      <c r="K5" s="109">
        <v>336</v>
      </c>
      <c r="L5" s="109">
        <v>7.2122999999999999</v>
      </c>
      <c r="M5" s="109" t="s">
        <v>79</v>
      </c>
      <c r="N5" s="109">
        <v>2.5301</v>
      </c>
      <c r="O5" s="109" t="s">
        <v>80</v>
      </c>
      <c r="P5" s="109">
        <v>2.6031</v>
      </c>
      <c r="Q5" s="109">
        <v>6.72</v>
      </c>
      <c r="R5" s="109">
        <v>0</v>
      </c>
      <c r="S5" s="109" t="s">
        <v>81</v>
      </c>
      <c r="T5" s="109">
        <v>0</v>
      </c>
      <c r="U5" s="109">
        <v>6.6400000000000001E-2</v>
      </c>
      <c r="V5" s="109" t="s">
        <v>82</v>
      </c>
      <c r="W5" s="109">
        <v>121</v>
      </c>
      <c r="X5" s="109">
        <v>1.0225</v>
      </c>
      <c r="Y5" s="109" t="s">
        <v>83</v>
      </c>
      <c r="Z5" s="109">
        <v>101</v>
      </c>
      <c r="AA5" s="109">
        <v>0.57169999999999999</v>
      </c>
      <c r="AB5" s="109" t="s">
        <v>84</v>
      </c>
      <c r="AC5" s="109">
        <v>28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5E8CA20832E94A969381AA8ED6B5CC" ma:contentTypeVersion="7" ma:contentTypeDescription="Criar um novo documento." ma:contentTypeScope="" ma:versionID="ebce31457cc0a4d29007d24fd08a08b3">
  <xsd:schema xmlns:xsd="http://www.w3.org/2001/XMLSchema" xmlns:xs="http://www.w3.org/2001/XMLSchema" xmlns:p="http://schemas.microsoft.com/office/2006/metadata/properties" xmlns:ns2="faee2998-efe8-4bf5-b245-5147171b46b8" xmlns:ns3="323cea87-28fe-44d3-a544-35bbf4217f3d" targetNamespace="http://schemas.microsoft.com/office/2006/metadata/properties" ma:root="true" ma:fieldsID="0f93ad4f1ef477dc11261d715fb57926" ns2:_="" ns3:_="">
    <xsd:import namespace="faee2998-efe8-4bf5-b245-5147171b46b8"/>
    <xsd:import namespace="323cea87-28fe-44d3-a544-35bbf4217f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e2998-efe8-4bf5-b245-5147171b46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3cea87-28fe-44d3-a544-35bbf4217f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632FB8-CBC7-4AEE-8BE4-97CC2B80F5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EFDE4E-94CB-43A0-B504-5FD5A9D7C0EE}"/>
</file>

<file path=customXml/itemProps3.xml><?xml version="1.0" encoding="utf-8"?>
<ds:datastoreItem xmlns:ds="http://schemas.openxmlformats.org/officeDocument/2006/customXml" ds:itemID="{06474521-B3BF-4462-B6D9-C6E1E7E2D48D}">
  <ds:schemaRefs>
    <ds:schemaRef ds:uri="http://schemas.openxmlformats.org/package/2006/metadata/core-properties"/>
    <ds:schemaRef ds:uri="faee2998-efe8-4bf5-b245-5147171b46b8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323cea87-28fe-44d3-a544-35bbf4217f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1</vt:i4>
      </vt:variant>
    </vt:vector>
  </HeadingPairs>
  <TitlesOfParts>
    <vt:vector size="10" baseType="lpstr">
      <vt:lpstr>2012</vt:lpstr>
      <vt:lpstr>2013</vt:lpstr>
      <vt:lpstr>2014</vt:lpstr>
      <vt:lpstr>2015</vt:lpstr>
      <vt:lpstr>2016</vt:lpstr>
      <vt:lpstr>2017</vt:lpstr>
      <vt:lpstr>2018</vt:lpstr>
      <vt:lpstr>Ficheiro_Dados_Mês_M</vt:lpstr>
      <vt:lpstr>FICHEIRO_DADOS_M</vt:lpstr>
      <vt:lpstr>'2016'!Área_de_Impressão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 Brás</dc:creator>
  <cp:lastModifiedBy>Tiago Brás</cp:lastModifiedBy>
  <cp:lastPrinted>2017-06-28T09:55:35Z</cp:lastPrinted>
  <dcterms:created xsi:type="dcterms:W3CDTF">2012-07-02T10:54:28Z</dcterms:created>
  <dcterms:modified xsi:type="dcterms:W3CDTF">2019-02-11T17:18:21Z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0x010100515E8CA20832E94A969381AA8ED6B5CC</vt:lpwstr>
  </property>
  <property fmtid="{D5CDD505-2E9C-101B-9397-08002B2CF9AE}" pid="3" name="AuthorIds_UIVersion_4096">
    <vt:lpwstr>14</vt:lpwstr>
  </property>
</Properties>
</file>